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020" windowHeight="11850"/>
  </bookViews>
  <sheets>
    <sheet name="16-17 for 18-19 Asmt (past3)" sheetId="4" r:id="rId1"/>
    <sheet name="15-16 for 17-18 Asmt (past3yrs)" sheetId="3" r:id="rId2"/>
    <sheet name="14-15 for 16-17 Asmt (past3yrs)" sheetId="2" r:id="rId3"/>
    <sheet name="14-15 for 16-17 Asmt (detail)" sheetId="1" r:id="rId4"/>
  </sheets>
  <externalReferences>
    <externalReference r:id="rId5"/>
    <externalReference r:id="rId6"/>
  </externalReferences>
  <definedNames>
    <definedName name="_xlnm.Print_Area" localSheetId="3">'14-15 for 16-17 Asmt (detail)'!$A$1:$AW$94</definedName>
    <definedName name="_xlnm.Print_Area" localSheetId="2">'14-15 for 16-17 Asmt (past3yrs)'!$A$1:$AF$87</definedName>
    <definedName name="_xlnm.Print_Area" localSheetId="1">'15-16 for 17-18 Asmt (past3yrs)'!$A$1:$AH$88</definedName>
    <definedName name="_xlnm.Print_Area" localSheetId="0">'16-17 for 18-19 Asmt (past3)'!$A$1:$AG$88</definedName>
    <definedName name="_xlnm.Print_Titles" localSheetId="3">'14-15 for 16-17 Asmt (detail)'!$1:$5</definedName>
    <definedName name="_xlnm.Print_Titles" localSheetId="2">'14-15 for 16-17 Asmt (past3yrs)'!$1:$5</definedName>
    <definedName name="_xlnm.Print_Titles" localSheetId="1">'15-16 for 17-18 Asmt (past3yrs)'!$1:$5</definedName>
    <definedName name="_xlnm.Print_Titles" localSheetId="0">'16-17 for 18-19 Asmt (past3)'!$1:$5</definedName>
  </definedNames>
  <calcPr calcId="145621"/>
</workbook>
</file>

<file path=xl/calcChain.xml><?xml version="1.0" encoding="utf-8"?>
<calcChain xmlns="http://schemas.openxmlformats.org/spreadsheetml/2006/main">
  <c r="AD7" i="4" l="1"/>
  <c r="AD8" i="4"/>
  <c r="AD9" i="4"/>
  <c r="AD10" i="4"/>
  <c r="AD11" i="4"/>
  <c r="AD12" i="4"/>
  <c r="AD14" i="4"/>
  <c r="AD15" i="4"/>
  <c r="AD16" i="4"/>
  <c r="AD17" i="4"/>
  <c r="AD18" i="4"/>
  <c r="AD19" i="4"/>
  <c r="AD20" i="4"/>
  <c r="AD21" i="4"/>
  <c r="AD22" i="4"/>
  <c r="AD23" i="4"/>
  <c r="AD25" i="4"/>
  <c r="AD26" i="4"/>
  <c r="AD27" i="4"/>
  <c r="AD28" i="4"/>
  <c r="AD29" i="4"/>
  <c r="AD30" i="4"/>
  <c r="AD31" i="4"/>
  <c r="AD32"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D72" i="4"/>
  <c r="AD73" i="4"/>
  <c r="AD74" i="4"/>
  <c r="AD75" i="4"/>
  <c r="AD76" i="4"/>
  <c r="AD77" i="4"/>
  <c r="AD78" i="4"/>
  <c r="AD79" i="4"/>
  <c r="AD80" i="4"/>
  <c r="AD81" i="4"/>
  <c r="AD82" i="4"/>
  <c r="AD83" i="4"/>
  <c r="AD84" i="4"/>
  <c r="AD85" i="4"/>
  <c r="AD86" i="4"/>
  <c r="AD87" i="4"/>
  <c r="AD6" i="4"/>
  <c r="C72" i="4"/>
  <c r="C45" i="4"/>
  <c r="C33" i="4"/>
  <c r="AD33" i="4" s="1"/>
  <c r="C24" i="4"/>
  <c r="AD24" i="4" s="1"/>
  <c r="C13" i="4"/>
  <c r="AD13" i="4" s="1"/>
  <c r="AC88" i="4"/>
  <c r="Q88" i="4"/>
  <c r="P88" i="4"/>
  <c r="O88" i="4"/>
  <c r="N88" i="4"/>
  <c r="M88" i="4"/>
  <c r="K88" i="4"/>
  <c r="J88" i="4"/>
  <c r="I88" i="4"/>
  <c r="D88" i="4"/>
  <c r="L87" i="4"/>
  <c r="F87" i="4"/>
  <c r="E87" i="4" s="1"/>
  <c r="L86" i="4"/>
  <c r="F86" i="4"/>
  <c r="E86" i="4" s="1"/>
  <c r="L85" i="4"/>
  <c r="F85" i="4"/>
  <c r="E85" i="4" s="1"/>
  <c r="F84" i="4"/>
  <c r="E84" i="4"/>
  <c r="F83" i="4"/>
  <c r="E83" i="4" s="1"/>
  <c r="L82" i="4"/>
  <c r="F82" i="4"/>
  <c r="E82" i="4" s="1"/>
  <c r="L81" i="4"/>
  <c r="F81" i="4"/>
  <c r="E81" i="4" s="1"/>
  <c r="L80" i="4"/>
  <c r="F80" i="4"/>
  <c r="E80" i="4" s="1"/>
  <c r="L79" i="4"/>
  <c r="F79" i="4"/>
  <c r="E79" i="4" s="1"/>
  <c r="L78" i="4"/>
  <c r="F78" i="4"/>
  <c r="E78" i="4" s="1"/>
  <c r="L77" i="4"/>
  <c r="F77" i="4"/>
  <c r="E77" i="4" s="1"/>
  <c r="L76" i="4"/>
  <c r="F76" i="4"/>
  <c r="E76" i="4" s="1"/>
  <c r="L75" i="4"/>
  <c r="F75" i="4"/>
  <c r="E75" i="4" s="1"/>
  <c r="L74" i="4"/>
  <c r="F74" i="4"/>
  <c r="E74" i="4" s="1"/>
  <c r="L73" i="4"/>
  <c r="F73" i="4"/>
  <c r="E73" i="4" s="1"/>
  <c r="L72" i="4"/>
  <c r="F72" i="4"/>
  <c r="E72" i="4" s="1"/>
  <c r="L71" i="4"/>
  <c r="F71" i="4"/>
  <c r="E71" i="4" s="1"/>
  <c r="L70" i="4"/>
  <c r="F70" i="4"/>
  <c r="E70" i="4" s="1"/>
  <c r="L69" i="4"/>
  <c r="F69" i="4"/>
  <c r="E69" i="4" s="1"/>
  <c r="L68" i="4"/>
  <c r="F68" i="4"/>
  <c r="E68" i="4" s="1"/>
  <c r="F67" i="4"/>
  <c r="E67" i="4" s="1"/>
  <c r="L66" i="4"/>
  <c r="F66" i="4"/>
  <c r="E66" i="4" s="1"/>
  <c r="L65" i="4"/>
  <c r="F65" i="4"/>
  <c r="L64" i="4"/>
  <c r="F64" i="4"/>
  <c r="L63" i="4"/>
  <c r="F63" i="4"/>
  <c r="E63" i="4" s="1"/>
  <c r="L62" i="4"/>
  <c r="F62" i="4"/>
  <c r="L61" i="4"/>
  <c r="F61" i="4"/>
  <c r="L60" i="4"/>
  <c r="F60" i="4"/>
  <c r="L59" i="4"/>
  <c r="F59" i="4"/>
  <c r="F58" i="4"/>
  <c r="L57" i="4"/>
  <c r="F57" i="4"/>
  <c r="L56" i="4"/>
  <c r="F56" i="4"/>
  <c r="L55" i="4"/>
  <c r="F55" i="4"/>
  <c r="L54" i="4"/>
  <c r="F54" i="4"/>
  <c r="E54" i="4" s="1"/>
  <c r="F53" i="4"/>
  <c r="E53" i="4" s="1"/>
  <c r="L52" i="4"/>
  <c r="F52" i="4"/>
  <c r="E52" i="4" s="1"/>
  <c r="L51" i="4"/>
  <c r="F51" i="4"/>
  <c r="E51" i="4" s="1"/>
  <c r="L50" i="4"/>
  <c r="F50" i="4"/>
  <c r="E50" i="4" s="1"/>
  <c r="L49" i="4"/>
  <c r="F49" i="4"/>
  <c r="E49" i="4" s="1"/>
  <c r="L48" i="4"/>
  <c r="F48" i="4"/>
  <c r="E48" i="4" s="1"/>
  <c r="L47" i="4"/>
  <c r="F47" i="4"/>
  <c r="E47" i="4" s="1"/>
  <c r="L46" i="4"/>
  <c r="F46" i="4"/>
  <c r="E46" i="4" s="1"/>
  <c r="L45" i="4"/>
  <c r="F45" i="4"/>
  <c r="E45" i="4" s="1"/>
  <c r="L44" i="4"/>
  <c r="F44" i="4"/>
  <c r="E44" i="4" s="1"/>
  <c r="L43" i="4"/>
  <c r="F43" i="4"/>
  <c r="E43" i="4" s="1"/>
  <c r="L42" i="4"/>
  <c r="F42" i="4"/>
  <c r="E42" i="4" s="1"/>
  <c r="L41" i="4"/>
  <c r="F41" i="4"/>
  <c r="E41" i="4" s="1"/>
  <c r="L40" i="4"/>
  <c r="F40" i="4"/>
  <c r="E40" i="4" s="1"/>
  <c r="L39" i="4"/>
  <c r="F39" i="4"/>
  <c r="E39" i="4" s="1"/>
  <c r="L38" i="4"/>
  <c r="F38" i="4"/>
  <c r="E38" i="4" s="1"/>
  <c r="L37" i="4"/>
  <c r="F37" i="4"/>
  <c r="E37" i="4" s="1"/>
  <c r="L36" i="4"/>
  <c r="F36" i="4"/>
  <c r="E36" i="4" s="1"/>
  <c r="L35" i="4"/>
  <c r="F35" i="4"/>
  <c r="E35" i="4" s="1"/>
  <c r="L34" i="4"/>
  <c r="F34" i="4"/>
  <c r="E34" i="4" s="1"/>
  <c r="L33" i="4"/>
  <c r="F33" i="4"/>
  <c r="E33" i="4" s="1"/>
  <c r="L32" i="4"/>
  <c r="F32" i="4"/>
  <c r="E32" i="4" s="1"/>
  <c r="L31" i="4"/>
  <c r="F31" i="4"/>
  <c r="E31" i="4" s="1"/>
  <c r="L30" i="4"/>
  <c r="F30" i="4"/>
  <c r="E30" i="4" s="1"/>
  <c r="F29" i="4"/>
  <c r="E29" i="4" s="1"/>
  <c r="L28" i="4"/>
  <c r="F28" i="4"/>
  <c r="E28" i="4" s="1"/>
  <c r="L27" i="4"/>
  <c r="F27" i="4"/>
  <c r="E27" i="4" s="1"/>
  <c r="L26" i="4"/>
  <c r="F26" i="4"/>
  <c r="E26" i="4" s="1"/>
  <c r="L25" i="4"/>
  <c r="F25" i="4"/>
  <c r="E25" i="4" s="1"/>
  <c r="L24" i="4"/>
  <c r="F24" i="4"/>
  <c r="E24" i="4" s="1"/>
  <c r="L23" i="4"/>
  <c r="F23" i="4"/>
  <c r="E23" i="4" s="1"/>
  <c r="F22" i="4"/>
  <c r="E22" i="4" s="1"/>
  <c r="L21" i="4"/>
  <c r="F21" i="4"/>
  <c r="E21" i="4" s="1"/>
  <c r="L20" i="4"/>
  <c r="F20" i="4"/>
  <c r="E20" i="4" s="1"/>
  <c r="F19" i="4"/>
  <c r="E19" i="4" s="1"/>
  <c r="L18" i="4"/>
  <c r="F18" i="4"/>
  <c r="E18" i="4" s="1"/>
  <c r="L17" i="4"/>
  <c r="F17" i="4"/>
  <c r="E17" i="4" s="1"/>
  <c r="L16" i="4"/>
  <c r="F16" i="4"/>
  <c r="E16" i="4" s="1"/>
  <c r="F15" i="4"/>
  <c r="E15" i="4" s="1"/>
  <c r="L14" i="4"/>
  <c r="F14" i="4"/>
  <c r="E14" i="4" s="1"/>
  <c r="L13" i="4"/>
  <c r="F13" i="4"/>
  <c r="E13" i="4" s="1"/>
  <c r="L12" i="4"/>
  <c r="F12" i="4"/>
  <c r="E12" i="4" s="1"/>
  <c r="L11" i="4"/>
  <c r="F11" i="4"/>
  <c r="E11" i="4" s="1"/>
  <c r="F10" i="4"/>
  <c r="E10" i="4" s="1"/>
  <c r="F9" i="4"/>
  <c r="E9" i="4" s="1"/>
  <c r="L8" i="4"/>
  <c r="F8" i="4"/>
  <c r="E8" i="4" s="1"/>
  <c r="F7" i="4"/>
  <c r="E7" i="4" s="1"/>
  <c r="L6" i="4"/>
  <c r="F6" i="4"/>
  <c r="E6" i="4" s="1"/>
  <c r="E88" i="4" s="1"/>
  <c r="C88" i="4" l="1"/>
  <c r="F88" i="4"/>
  <c r="AD88" i="4"/>
  <c r="AF64" i="4" s="1"/>
  <c r="AD47" i="3"/>
  <c r="K47" i="3"/>
  <c r="E47" i="3"/>
  <c r="D47" i="3" s="1"/>
  <c r="AB88" i="3"/>
  <c r="AC88" i="3"/>
  <c r="P88" i="3"/>
  <c r="O88" i="3"/>
  <c r="N88" i="3"/>
  <c r="M88" i="3"/>
  <c r="L88" i="3"/>
  <c r="J88" i="3"/>
  <c r="I88" i="3"/>
  <c r="H88" i="3"/>
  <c r="C88" i="3"/>
  <c r="AD87" i="3"/>
  <c r="K87" i="3"/>
  <c r="E87" i="3"/>
  <c r="D87" i="3" s="1"/>
  <c r="AD86" i="3"/>
  <c r="K86" i="3"/>
  <c r="E86" i="3"/>
  <c r="D86" i="3" s="1"/>
  <c r="AD85" i="3"/>
  <c r="K85" i="3"/>
  <c r="E85" i="3"/>
  <c r="D85" i="3" s="1"/>
  <c r="AD84" i="3"/>
  <c r="E84" i="3"/>
  <c r="D84" i="3" s="1"/>
  <c r="AD83" i="3"/>
  <c r="E83" i="3"/>
  <c r="D83" i="3" s="1"/>
  <c r="AD82" i="3"/>
  <c r="K82" i="3"/>
  <c r="E82" i="3"/>
  <c r="D82" i="3" s="1"/>
  <c r="AD81" i="3"/>
  <c r="K81" i="3"/>
  <c r="E81" i="3"/>
  <c r="D81" i="3" s="1"/>
  <c r="AD80" i="3"/>
  <c r="K80" i="3"/>
  <c r="E80" i="3"/>
  <c r="D80" i="3" s="1"/>
  <c r="AD79" i="3"/>
  <c r="K79" i="3"/>
  <c r="E79" i="3"/>
  <c r="D79" i="3" s="1"/>
  <c r="AD78" i="3"/>
  <c r="K78" i="3"/>
  <c r="E78" i="3"/>
  <c r="D78" i="3" s="1"/>
  <c r="AD77" i="3"/>
  <c r="K77" i="3"/>
  <c r="E77" i="3"/>
  <c r="D77" i="3" s="1"/>
  <c r="AD76" i="3"/>
  <c r="K76" i="3"/>
  <c r="E76" i="3"/>
  <c r="D76" i="3" s="1"/>
  <c r="AD75" i="3"/>
  <c r="K75" i="3"/>
  <c r="E75" i="3"/>
  <c r="D75" i="3" s="1"/>
  <c r="AD74" i="3"/>
  <c r="K74" i="3"/>
  <c r="E74" i="3"/>
  <c r="D74" i="3" s="1"/>
  <c r="AD73" i="3"/>
  <c r="K73" i="3"/>
  <c r="E73" i="3"/>
  <c r="D73" i="3" s="1"/>
  <c r="AD72" i="3"/>
  <c r="K72" i="3"/>
  <c r="E72" i="3"/>
  <c r="D72" i="3" s="1"/>
  <c r="AD71" i="3"/>
  <c r="K71" i="3"/>
  <c r="E71" i="3"/>
  <c r="D71" i="3" s="1"/>
  <c r="AD70" i="3"/>
  <c r="K70" i="3"/>
  <c r="E70" i="3"/>
  <c r="D70" i="3" s="1"/>
  <c r="AD69" i="3"/>
  <c r="K69" i="3"/>
  <c r="E69" i="3"/>
  <c r="D69" i="3" s="1"/>
  <c r="AD68" i="3"/>
  <c r="K68" i="3"/>
  <c r="E68" i="3"/>
  <c r="D68" i="3" s="1"/>
  <c r="AD67" i="3"/>
  <c r="E67" i="3"/>
  <c r="D67" i="3" s="1"/>
  <c r="AD66" i="3"/>
  <c r="K66" i="3"/>
  <c r="E66" i="3"/>
  <c r="D66" i="3" s="1"/>
  <c r="AD65" i="3"/>
  <c r="K65" i="3"/>
  <c r="E65" i="3"/>
  <c r="AD64" i="3"/>
  <c r="K64" i="3"/>
  <c r="E64" i="3"/>
  <c r="AD63" i="3"/>
  <c r="K63" i="3"/>
  <c r="E63" i="3"/>
  <c r="D63" i="3" s="1"/>
  <c r="AD62" i="3"/>
  <c r="K62" i="3"/>
  <c r="E62" i="3"/>
  <c r="AD61" i="3"/>
  <c r="K61" i="3"/>
  <c r="E61" i="3"/>
  <c r="AD60" i="3"/>
  <c r="K60" i="3"/>
  <c r="E60" i="3"/>
  <c r="AD59" i="3"/>
  <c r="K59" i="3"/>
  <c r="E59" i="3"/>
  <c r="AD58" i="3"/>
  <c r="E58" i="3"/>
  <c r="AD57" i="3"/>
  <c r="K57" i="3"/>
  <c r="E57" i="3"/>
  <c r="AD56" i="3"/>
  <c r="K56" i="3"/>
  <c r="E56" i="3"/>
  <c r="AD55" i="3"/>
  <c r="K55" i="3"/>
  <c r="E55" i="3"/>
  <c r="AD54" i="3"/>
  <c r="K54" i="3"/>
  <c r="E54" i="3"/>
  <c r="D54" i="3" s="1"/>
  <c r="AD53" i="3"/>
  <c r="E53" i="3"/>
  <c r="D53" i="3" s="1"/>
  <c r="AD52" i="3"/>
  <c r="K52" i="3"/>
  <c r="E52" i="3"/>
  <c r="D52" i="3" s="1"/>
  <c r="AD51" i="3"/>
  <c r="K51" i="3"/>
  <c r="E51" i="3"/>
  <c r="D51" i="3" s="1"/>
  <c r="AD50" i="3"/>
  <c r="K50" i="3"/>
  <c r="E50" i="3"/>
  <c r="D50" i="3" s="1"/>
  <c r="AD49" i="3"/>
  <c r="K49" i="3"/>
  <c r="E49" i="3"/>
  <c r="D49" i="3" s="1"/>
  <c r="AD48" i="3"/>
  <c r="K48" i="3"/>
  <c r="E48" i="3"/>
  <c r="D48" i="3" s="1"/>
  <c r="AD46" i="3"/>
  <c r="K46" i="3"/>
  <c r="E46" i="3"/>
  <c r="D46" i="3" s="1"/>
  <c r="AD45" i="3"/>
  <c r="K45" i="3"/>
  <c r="E45" i="3"/>
  <c r="D45" i="3" s="1"/>
  <c r="AD44" i="3"/>
  <c r="K44" i="3"/>
  <c r="E44" i="3"/>
  <c r="D44" i="3" s="1"/>
  <c r="AD43" i="3"/>
  <c r="K43" i="3"/>
  <c r="E43" i="3"/>
  <c r="D43" i="3" s="1"/>
  <c r="AD42" i="3"/>
  <c r="K42" i="3"/>
  <c r="E42" i="3"/>
  <c r="D42" i="3" s="1"/>
  <c r="AD41" i="3"/>
  <c r="K41" i="3"/>
  <c r="E41" i="3"/>
  <c r="D41" i="3" s="1"/>
  <c r="AD40" i="3"/>
  <c r="K40" i="3"/>
  <c r="E40" i="3"/>
  <c r="D40" i="3" s="1"/>
  <c r="AD39" i="3"/>
  <c r="K39" i="3"/>
  <c r="E39" i="3"/>
  <c r="D39" i="3" s="1"/>
  <c r="AD38" i="3"/>
  <c r="K38" i="3"/>
  <c r="E38" i="3"/>
  <c r="D38" i="3" s="1"/>
  <c r="AD37" i="3"/>
  <c r="K37" i="3"/>
  <c r="E37" i="3"/>
  <c r="D37" i="3" s="1"/>
  <c r="AD36" i="3"/>
  <c r="K36" i="3"/>
  <c r="E36" i="3"/>
  <c r="D36" i="3" s="1"/>
  <c r="AD35" i="3"/>
  <c r="K35" i="3"/>
  <c r="E35" i="3"/>
  <c r="D35" i="3" s="1"/>
  <c r="AD34" i="3"/>
  <c r="K34" i="3"/>
  <c r="E34" i="3"/>
  <c r="D34" i="3" s="1"/>
  <c r="AD33" i="3"/>
  <c r="K33" i="3"/>
  <c r="E33" i="3"/>
  <c r="D33" i="3" s="1"/>
  <c r="AD32" i="3"/>
  <c r="K32" i="3"/>
  <c r="E32" i="3"/>
  <c r="D32" i="3" s="1"/>
  <c r="AD31" i="3"/>
  <c r="K31" i="3"/>
  <c r="E31" i="3"/>
  <c r="D31" i="3" s="1"/>
  <c r="AD30" i="3"/>
  <c r="K30" i="3"/>
  <c r="E30" i="3"/>
  <c r="D30" i="3" s="1"/>
  <c r="AD29" i="3"/>
  <c r="E29" i="3"/>
  <c r="D29" i="3" s="1"/>
  <c r="AD28" i="3"/>
  <c r="K28" i="3"/>
  <c r="E28" i="3"/>
  <c r="D28" i="3" s="1"/>
  <c r="AD27" i="3"/>
  <c r="K27" i="3"/>
  <c r="E27" i="3"/>
  <c r="D27" i="3" s="1"/>
  <c r="AD26" i="3"/>
  <c r="K26" i="3"/>
  <c r="E26" i="3"/>
  <c r="D26" i="3" s="1"/>
  <c r="AD25" i="3"/>
  <c r="K25" i="3"/>
  <c r="E25" i="3"/>
  <c r="D25" i="3" s="1"/>
  <c r="AD24" i="3"/>
  <c r="K24" i="3"/>
  <c r="E24" i="3"/>
  <c r="D24" i="3" s="1"/>
  <c r="AD23" i="3"/>
  <c r="K23" i="3"/>
  <c r="E23" i="3"/>
  <c r="D23" i="3" s="1"/>
  <c r="AD22" i="3"/>
  <c r="E22" i="3"/>
  <c r="D22" i="3" s="1"/>
  <c r="AD21" i="3"/>
  <c r="K21" i="3"/>
  <c r="E21" i="3"/>
  <c r="D21" i="3" s="1"/>
  <c r="AD20" i="3"/>
  <c r="K20" i="3"/>
  <c r="E20" i="3"/>
  <c r="D20" i="3" s="1"/>
  <c r="AD19" i="3"/>
  <c r="E19" i="3"/>
  <c r="D19" i="3"/>
  <c r="AD18" i="3"/>
  <c r="K18" i="3"/>
  <c r="E18" i="3"/>
  <c r="D18" i="3" s="1"/>
  <c r="AD17" i="3"/>
  <c r="K17" i="3"/>
  <c r="E17" i="3"/>
  <c r="D17" i="3" s="1"/>
  <c r="AD16" i="3"/>
  <c r="K16" i="3"/>
  <c r="E16" i="3"/>
  <c r="D16" i="3" s="1"/>
  <c r="AD15" i="3"/>
  <c r="E15" i="3"/>
  <c r="D15" i="3" s="1"/>
  <c r="AD14" i="3"/>
  <c r="K14" i="3"/>
  <c r="E14" i="3"/>
  <c r="D14" i="3" s="1"/>
  <c r="AD13" i="3"/>
  <c r="K13" i="3"/>
  <c r="E13" i="3"/>
  <c r="D13" i="3" s="1"/>
  <c r="AD12" i="3"/>
  <c r="K12" i="3"/>
  <c r="E12" i="3"/>
  <c r="D12" i="3" s="1"/>
  <c r="AD11" i="3"/>
  <c r="K11" i="3"/>
  <c r="E11" i="3"/>
  <c r="D11" i="3" s="1"/>
  <c r="AD10" i="3"/>
  <c r="E10" i="3"/>
  <c r="D10" i="3" s="1"/>
  <c r="AD9" i="3"/>
  <c r="E9" i="3"/>
  <c r="D9" i="3" s="1"/>
  <c r="AD8" i="3"/>
  <c r="K8" i="3"/>
  <c r="E8" i="3"/>
  <c r="D8" i="3" s="1"/>
  <c r="AD7" i="3"/>
  <c r="E7" i="3"/>
  <c r="D7" i="3" s="1"/>
  <c r="AD6" i="3"/>
  <c r="K6" i="3"/>
  <c r="E6" i="3"/>
  <c r="AF6" i="4" l="1"/>
  <c r="AG6" i="4" s="1"/>
  <c r="AI10" i="4"/>
  <c r="AJ10" i="4" s="1"/>
  <c r="AI14" i="4"/>
  <c r="AJ14" i="4" s="1"/>
  <c r="AI18" i="4"/>
  <c r="AJ18" i="4" s="1"/>
  <c r="AI22" i="4"/>
  <c r="AJ22" i="4" s="1"/>
  <c r="AI26" i="4"/>
  <c r="AJ26" i="4" s="1"/>
  <c r="AI30" i="4"/>
  <c r="AJ30" i="4" s="1"/>
  <c r="AI34" i="4"/>
  <c r="AJ34" i="4" s="1"/>
  <c r="AI38" i="4"/>
  <c r="AI42" i="4"/>
  <c r="AJ42" i="4" s="1"/>
  <c r="AI46" i="4"/>
  <c r="AJ46" i="4" s="1"/>
  <c r="AI50" i="4"/>
  <c r="AJ50" i="4" s="1"/>
  <c r="AI54" i="4"/>
  <c r="AI58" i="4"/>
  <c r="AJ58" i="4" s="1"/>
  <c r="AI62" i="4"/>
  <c r="AJ62" i="4" s="1"/>
  <c r="AI66" i="4"/>
  <c r="AJ66" i="4" s="1"/>
  <c r="AI70" i="4"/>
  <c r="AJ70" i="4" s="1"/>
  <c r="AI74" i="4"/>
  <c r="AJ74" i="4" s="1"/>
  <c r="AI78" i="4"/>
  <c r="AJ78" i="4" s="1"/>
  <c r="AI82" i="4"/>
  <c r="AJ82" i="4" s="1"/>
  <c r="AI86" i="4"/>
  <c r="AF9" i="4"/>
  <c r="AF13" i="4"/>
  <c r="AG13" i="4" s="1"/>
  <c r="AF17" i="4"/>
  <c r="AG17" i="4" s="1"/>
  <c r="AF21" i="4"/>
  <c r="AG21" i="4" s="1"/>
  <c r="AF25" i="4"/>
  <c r="AG25" i="4" s="1"/>
  <c r="AF29" i="4"/>
  <c r="AG29" i="4" s="1"/>
  <c r="AF33" i="4"/>
  <c r="AG33" i="4" s="1"/>
  <c r="AF37" i="4"/>
  <c r="AG37" i="4" s="1"/>
  <c r="AF41" i="4"/>
  <c r="AG41" i="4" s="1"/>
  <c r="AF45" i="4"/>
  <c r="AG45" i="4" s="1"/>
  <c r="AF49" i="4"/>
  <c r="AG49" i="4" s="1"/>
  <c r="AF53" i="4"/>
  <c r="AF57" i="4"/>
  <c r="AG57" i="4" s="1"/>
  <c r="AF61" i="4"/>
  <c r="AG61" i="4" s="1"/>
  <c r="AF65" i="4"/>
  <c r="AG65" i="4" s="1"/>
  <c r="AF69" i="4"/>
  <c r="AG69" i="4" s="1"/>
  <c r="AF73" i="4"/>
  <c r="AG73" i="4" s="1"/>
  <c r="AF77" i="4"/>
  <c r="AG77" i="4" s="1"/>
  <c r="AF81" i="4"/>
  <c r="AG81" i="4" s="1"/>
  <c r="AF85" i="4"/>
  <c r="AI7" i="4"/>
  <c r="AJ7" i="4" s="1"/>
  <c r="AI11" i="4"/>
  <c r="AJ11" i="4" s="1"/>
  <c r="AI15" i="4"/>
  <c r="AJ15" i="4" s="1"/>
  <c r="AI19" i="4"/>
  <c r="AJ19" i="4" s="1"/>
  <c r="AI23" i="4"/>
  <c r="AJ23" i="4" s="1"/>
  <c r="AI27" i="4"/>
  <c r="AJ27" i="4" s="1"/>
  <c r="AI31" i="4"/>
  <c r="AJ31" i="4" s="1"/>
  <c r="AI35" i="4"/>
  <c r="AJ35" i="4" s="1"/>
  <c r="AI39" i="4"/>
  <c r="AJ39" i="4" s="1"/>
  <c r="AI43" i="4"/>
  <c r="AJ43" i="4" s="1"/>
  <c r="AI47" i="4"/>
  <c r="AI51" i="4"/>
  <c r="AJ51" i="4" s="1"/>
  <c r="AI55" i="4"/>
  <c r="AJ55" i="4" s="1"/>
  <c r="AI59" i="4"/>
  <c r="AJ59" i="4" s="1"/>
  <c r="AI63" i="4"/>
  <c r="AJ63" i="4" s="1"/>
  <c r="AI67" i="4"/>
  <c r="AJ67" i="4" s="1"/>
  <c r="AI71" i="4"/>
  <c r="AJ71" i="4" s="1"/>
  <c r="AI75" i="4"/>
  <c r="AJ75" i="4" s="1"/>
  <c r="AI79" i="4"/>
  <c r="AJ79" i="4" s="1"/>
  <c r="AI83" i="4"/>
  <c r="AJ83" i="4" s="1"/>
  <c r="AI87" i="4"/>
  <c r="AJ87" i="4" s="1"/>
  <c r="AF10" i="4"/>
  <c r="AG10" i="4" s="1"/>
  <c r="AF14" i="4"/>
  <c r="AG14" i="4" s="1"/>
  <c r="AF18" i="4"/>
  <c r="AG18" i="4" s="1"/>
  <c r="AF22" i="4"/>
  <c r="AG22" i="4" s="1"/>
  <c r="AF26" i="4"/>
  <c r="AG26" i="4" s="1"/>
  <c r="AF30" i="4"/>
  <c r="AG30" i="4" s="1"/>
  <c r="AF34" i="4"/>
  <c r="AF38" i="4"/>
  <c r="AG38" i="4" s="1"/>
  <c r="AF42" i="4"/>
  <c r="AG42" i="4" s="1"/>
  <c r="AF46" i="4"/>
  <c r="AG46" i="4" s="1"/>
  <c r="AF50" i="4"/>
  <c r="AG50" i="4" s="1"/>
  <c r="AF54" i="4"/>
  <c r="AG54" i="4" s="1"/>
  <c r="AF58" i="4"/>
  <c r="AG58" i="4" s="1"/>
  <c r="AF62" i="4"/>
  <c r="AG62" i="4" s="1"/>
  <c r="AF66" i="4"/>
  <c r="AG66" i="4" s="1"/>
  <c r="AF70" i="4"/>
  <c r="AG70" i="4" s="1"/>
  <c r="AF74" i="4"/>
  <c r="AG74" i="4" s="1"/>
  <c r="AF78" i="4"/>
  <c r="AG78" i="4" s="1"/>
  <c r="AF82" i="4"/>
  <c r="AG82" i="4" s="1"/>
  <c r="AF86" i="4"/>
  <c r="AG86" i="4" s="1"/>
  <c r="AI8" i="4"/>
  <c r="AJ8" i="4" s="1"/>
  <c r="AI12" i="4"/>
  <c r="AJ12" i="4" s="1"/>
  <c r="AI16" i="4"/>
  <c r="AI9" i="4"/>
  <c r="AJ9" i="4" s="1"/>
  <c r="AI21" i="4"/>
  <c r="AJ21" i="4" s="1"/>
  <c r="AI29" i="4"/>
  <c r="AJ29" i="4" s="1"/>
  <c r="AI37" i="4"/>
  <c r="AJ37" i="4" s="1"/>
  <c r="AI45" i="4"/>
  <c r="AI53" i="4"/>
  <c r="AJ53" i="4" s="1"/>
  <c r="AI61" i="4"/>
  <c r="AI69" i="4"/>
  <c r="AI77" i="4"/>
  <c r="AJ77" i="4" s="1"/>
  <c r="AI85" i="4"/>
  <c r="AJ85" i="4" s="1"/>
  <c r="AF12" i="4"/>
  <c r="AG12" i="4" s="1"/>
  <c r="AF20" i="4"/>
  <c r="AF28" i="4"/>
  <c r="AF36" i="4"/>
  <c r="AG36" i="4" s="1"/>
  <c r="AF44" i="4"/>
  <c r="AG44" i="4" s="1"/>
  <c r="AF52" i="4"/>
  <c r="AG52" i="4" s="1"/>
  <c r="AF60" i="4"/>
  <c r="AG60" i="4" s="1"/>
  <c r="AF68" i="4"/>
  <c r="AG68" i="4" s="1"/>
  <c r="AF76" i="4"/>
  <c r="AF84" i="4"/>
  <c r="AG84" i="4" s="1"/>
  <c r="AI13" i="4"/>
  <c r="AJ13" i="4" s="1"/>
  <c r="AI24" i="4"/>
  <c r="AJ24" i="4" s="1"/>
  <c r="AI32" i="4"/>
  <c r="AJ32" i="4" s="1"/>
  <c r="AI40" i="4"/>
  <c r="AI48" i="4"/>
  <c r="AJ48" i="4" s="1"/>
  <c r="AI56" i="4"/>
  <c r="AJ56" i="4" s="1"/>
  <c r="AI72" i="4"/>
  <c r="AI80" i="4"/>
  <c r="AF7" i="4"/>
  <c r="AG7" i="4" s="1"/>
  <c r="AF15" i="4"/>
  <c r="AG15" i="4" s="1"/>
  <c r="AF23" i="4"/>
  <c r="AG23" i="4" s="1"/>
  <c r="AF31" i="4"/>
  <c r="AG31" i="4" s="1"/>
  <c r="AF39" i="4"/>
  <c r="AG39" i="4" s="1"/>
  <c r="AF47" i="4"/>
  <c r="AG47" i="4" s="1"/>
  <c r="AF55" i="4"/>
  <c r="AG55" i="4" s="1"/>
  <c r="AF63" i="4"/>
  <c r="AG63" i="4" s="1"/>
  <c r="AF71" i="4"/>
  <c r="AG71" i="4" s="1"/>
  <c r="AF79" i="4"/>
  <c r="AG79" i="4" s="1"/>
  <c r="AF87" i="4"/>
  <c r="AG87" i="4" s="1"/>
  <c r="AI17" i="4"/>
  <c r="AI25" i="4"/>
  <c r="AJ25" i="4" s="1"/>
  <c r="AI33" i="4"/>
  <c r="AJ33" i="4" s="1"/>
  <c r="AI41" i="4"/>
  <c r="AJ41" i="4" s="1"/>
  <c r="AI49" i="4"/>
  <c r="AJ49" i="4" s="1"/>
  <c r="AI57" i="4"/>
  <c r="AJ57" i="4" s="1"/>
  <c r="AI65" i="4"/>
  <c r="AJ65" i="4" s="1"/>
  <c r="AI73" i="4"/>
  <c r="AJ73" i="4" s="1"/>
  <c r="AI81" i="4"/>
  <c r="AF8" i="4"/>
  <c r="AG8" i="4" s="1"/>
  <c r="AF16" i="4"/>
  <c r="AG16" i="4" s="1"/>
  <c r="AF24" i="4"/>
  <c r="AG24" i="4" s="1"/>
  <c r="AF32" i="4"/>
  <c r="AF40" i="4"/>
  <c r="AG40" i="4" s="1"/>
  <c r="AF48" i="4"/>
  <c r="AG48" i="4" s="1"/>
  <c r="AF56" i="4"/>
  <c r="AG56" i="4" s="1"/>
  <c r="AF72" i="4"/>
  <c r="AF80" i="4"/>
  <c r="AG80" i="4" s="1"/>
  <c r="AI6" i="4"/>
  <c r="AI20" i="4"/>
  <c r="AJ20" i="4" s="1"/>
  <c r="AI28" i="4"/>
  <c r="AJ28" i="4" s="1"/>
  <c r="AI36" i="4"/>
  <c r="AJ36" i="4" s="1"/>
  <c r="AI44" i="4"/>
  <c r="AJ44" i="4" s="1"/>
  <c r="AI52" i="4"/>
  <c r="AJ52" i="4" s="1"/>
  <c r="AI60" i="4"/>
  <c r="AI68" i="4"/>
  <c r="AJ68" i="4" s="1"/>
  <c r="AI76" i="4"/>
  <c r="AJ76" i="4" s="1"/>
  <c r="AI84" i="4"/>
  <c r="AJ84" i="4" s="1"/>
  <c r="AF11" i="4"/>
  <c r="AG11" i="4" s="1"/>
  <c r="AF19" i="4"/>
  <c r="AG19" i="4" s="1"/>
  <c r="AF27" i="4"/>
  <c r="AG27" i="4" s="1"/>
  <c r="AF35" i="4"/>
  <c r="AG35" i="4" s="1"/>
  <c r="AF43" i="4"/>
  <c r="AG43" i="4" s="1"/>
  <c r="AF51" i="4"/>
  <c r="AG51" i="4" s="1"/>
  <c r="AF59" i="4"/>
  <c r="AG59" i="4" s="1"/>
  <c r="AF67" i="4"/>
  <c r="AG67" i="4" s="1"/>
  <c r="AF75" i="4"/>
  <c r="AG75" i="4" s="1"/>
  <c r="AF83" i="4"/>
  <c r="AG83" i="4" s="1"/>
  <c r="AI64" i="4"/>
  <c r="AJ64" i="4" s="1"/>
  <c r="AJ47" i="4"/>
  <c r="AG53" i="4"/>
  <c r="AJ54" i="4"/>
  <c r="AJ72" i="4"/>
  <c r="AJ16" i="4"/>
  <c r="AJ80" i="4"/>
  <c r="AG64" i="4"/>
  <c r="AJ60" i="4"/>
  <c r="AJ86" i="4"/>
  <c r="AJ81" i="4"/>
  <c r="AJ69" i="4"/>
  <c r="AJ45" i="4"/>
  <c r="AG34" i="4"/>
  <c r="AG32" i="4"/>
  <c r="AG85" i="4"/>
  <c r="AG76" i="4"/>
  <c r="AG72" i="4"/>
  <c r="AJ40" i="4"/>
  <c r="AJ61" i="4"/>
  <c r="AJ38" i="4"/>
  <c r="AG20" i="4"/>
  <c r="AG9" i="4"/>
  <c r="AJ17" i="4"/>
  <c r="AG28" i="4"/>
  <c r="E88" i="3"/>
  <c r="AD88" i="3"/>
  <c r="AG11" i="3"/>
  <c r="AH11" i="3" s="1"/>
  <c r="D6" i="3"/>
  <c r="D88" i="3" s="1"/>
  <c r="AE7" i="2"/>
  <c r="AF7" i="2" s="1"/>
  <c r="AE8" i="2"/>
  <c r="AF8" i="2" s="1"/>
  <c r="AE9" i="2"/>
  <c r="AF9" i="2" s="1"/>
  <c r="AE10" i="2"/>
  <c r="AF10" i="2" s="1"/>
  <c r="AE11" i="2"/>
  <c r="AF11" i="2" s="1"/>
  <c r="AE12" i="2"/>
  <c r="AF12" i="2" s="1"/>
  <c r="AE13" i="2"/>
  <c r="AF13" i="2" s="1"/>
  <c r="AE14" i="2"/>
  <c r="AF14" i="2" s="1"/>
  <c r="AE15" i="2"/>
  <c r="AF15" i="2" s="1"/>
  <c r="AE16" i="2"/>
  <c r="AF16" i="2" s="1"/>
  <c r="AE17" i="2"/>
  <c r="AF17" i="2" s="1"/>
  <c r="AE18" i="2"/>
  <c r="AF18" i="2" s="1"/>
  <c r="AE19" i="2"/>
  <c r="AF19" i="2" s="1"/>
  <c r="AE20" i="2"/>
  <c r="AF20" i="2" s="1"/>
  <c r="AE21" i="2"/>
  <c r="AF21" i="2" s="1"/>
  <c r="AE22" i="2"/>
  <c r="AF22" i="2" s="1"/>
  <c r="AE23" i="2"/>
  <c r="AF23" i="2" s="1"/>
  <c r="AE24" i="2"/>
  <c r="AF24" i="2" s="1"/>
  <c r="AE25" i="2"/>
  <c r="AF25" i="2" s="1"/>
  <c r="AE26" i="2"/>
  <c r="AF26" i="2" s="1"/>
  <c r="AE27" i="2"/>
  <c r="AF27" i="2" s="1"/>
  <c r="AE28" i="2"/>
  <c r="AF28" i="2" s="1"/>
  <c r="AE29" i="2"/>
  <c r="AF29" i="2" s="1"/>
  <c r="AE30" i="2"/>
  <c r="AF30" i="2" s="1"/>
  <c r="AE31" i="2"/>
  <c r="AF31" i="2" s="1"/>
  <c r="AE32" i="2"/>
  <c r="AF32" i="2" s="1"/>
  <c r="AE33" i="2"/>
  <c r="AF33" i="2" s="1"/>
  <c r="AE34" i="2"/>
  <c r="AF34" i="2" s="1"/>
  <c r="AE35" i="2"/>
  <c r="AF35" i="2" s="1"/>
  <c r="AE36" i="2"/>
  <c r="AF36" i="2" s="1"/>
  <c r="AE37" i="2"/>
  <c r="AF37" i="2" s="1"/>
  <c r="AE38" i="2"/>
  <c r="AF38" i="2" s="1"/>
  <c r="AE39" i="2"/>
  <c r="AF39" i="2" s="1"/>
  <c r="AE40" i="2"/>
  <c r="AF40" i="2" s="1"/>
  <c r="AE41" i="2"/>
  <c r="AF41" i="2" s="1"/>
  <c r="AE42" i="2"/>
  <c r="AF42" i="2" s="1"/>
  <c r="AE43" i="2"/>
  <c r="AF43" i="2" s="1"/>
  <c r="AE44" i="2"/>
  <c r="AF44" i="2" s="1"/>
  <c r="AE45" i="2"/>
  <c r="AF45" i="2" s="1"/>
  <c r="AE46" i="2"/>
  <c r="AF46" i="2" s="1"/>
  <c r="AE47" i="2"/>
  <c r="AF47" i="2" s="1"/>
  <c r="AE48" i="2"/>
  <c r="AF48" i="2" s="1"/>
  <c r="AE49" i="2"/>
  <c r="AF49" i="2" s="1"/>
  <c r="AE50" i="2"/>
  <c r="AF50" i="2" s="1"/>
  <c r="AE51" i="2"/>
  <c r="AF51" i="2" s="1"/>
  <c r="AE52" i="2"/>
  <c r="AF52" i="2" s="1"/>
  <c r="AE53" i="2"/>
  <c r="AF53" i="2" s="1"/>
  <c r="AE54" i="2"/>
  <c r="AF54" i="2" s="1"/>
  <c r="AE55" i="2"/>
  <c r="AF55" i="2" s="1"/>
  <c r="AE56" i="2"/>
  <c r="AF56" i="2" s="1"/>
  <c r="AE57" i="2"/>
  <c r="AF57" i="2" s="1"/>
  <c r="AE58" i="2"/>
  <c r="AF58" i="2" s="1"/>
  <c r="AE59" i="2"/>
  <c r="AF59" i="2" s="1"/>
  <c r="AE60" i="2"/>
  <c r="AF60" i="2" s="1"/>
  <c r="AE61" i="2"/>
  <c r="AF61" i="2" s="1"/>
  <c r="AE62" i="2"/>
  <c r="AF62" i="2" s="1"/>
  <c r="AE63" i="2"/>
  <c r="AF63" i="2" s="1"/>
  <c r="AE64" i="2"/>
  <c r="AF64" i="2" s="1"/>
  <c r="AE65" i="2"/>
  <c r="AF65" i="2" s="1"/>
  <c r="AE66" i="2"/>
  <c r="AF66" i="2" s="1"/>
  <c r="AE67" i="2"/>
  <c r="AF67" i="2" s="1"/>
  <c r="AE68" i="2"/>
  <c r="AF68" i="2" s="1"/>
  <c r="AE69" i="2"/>
  <c r="AF69" i="2" s="1"/>
  <c r="AE70" i="2"/>
  <c r="AF70" i="2" s="1"/>
  <c r="AE71" i="2"/>
  <c r="AF71" i="2" s="1"/>
  <c r="AE72" i="2"/>
  <c r="AF72" i="2" s="1"/>
  <c r="AE73" i="2"/>
  <c r="AF73" i="2" s="1"/>
  <c r="AE74" i="2"/>
  <c r="AF74" i="2" s="1"/>
  <c r="AE75" i="2"/>
  <c r="AF75" i="2" s="1"/>
  <c r="AE76" i="2"/>
  <c r="AF76" i="2" s="1"/>
  <c r="AE77" i="2"/>
  <c r="AF77" i="2" s="1"/>
  <c r="AE78" i="2"/>
  <c r="AF78" i="2" s="1"/>
  <c r="AE79" i="2"/>
  <c r="AF79" i="2" s="1"/>
  <c r="AE80" i="2"/>
  <c r="AF80" i="2" s="1"/>
  <c r="AE81" i="2"/>
  <c r="AF81" i="2" s="1"/>
  <c r="AE82" i="2"/>
  <c r="AF82" i="2" s="1"/>
  <c r="AE83" i="2"/>
  <c r="AF83" i="2" s="1"/>
  <c r="AE84" i="2"/>
  <c r="AF84" i="2" s="1"/>
  <c r="AE85" i="2"/>
  <c r="AF85" i="2" s="1"/>
  <c r="AE86" i="2"/>
  <c r="AF86" i="2" s="1"/>
  <c r="AE6" i="2"/>
  <c r="AF6" i="2" s="1"/>
  <c r="AI88" i="4" l="1"/>
  <c r="AJ6" i="4"/>
  <c r="AF88" i="4"/>
  <c r="AG15" i="3"/>
  <c r="AH15" i="3" s="1"/>
  <c r="AE7" i="3"/>
  <c r="AF7" i="3" s="1"/>
  <c r="AE9" i="3"/>
  <c r="AF9" i="3" s="1"/>
  <c r="AE11" i="3"/>
  <c r="AF11" i="3" s="1"/>
  <c r="AE13" i="3"/>
  <c r="AF13" i="3" s="1"/>
  <c r="AE15" i="3"/>
  <c r="AF15" i="3" s="1"/>
  <c r="AE17" i="3"/>
  <c r="AF17" i="3" s="1"/>
  <c r="AE19" i="3"/>
  <c r="AF19" i="3" s="1"/>
  <c r="AE21" i="3"/>
  <c r="AF21" i="3" s="1"/>
  <c r="AE23" i="3"/>
  <c r="AF23" i="3" s="1"/>
  <c r="AE25" i="3"/>
  <c r="AF25" i="3" s="1"/>
  <c r="AE27" i="3"/>
  <c r="AF27" i="3" s="1"/>
  <c r="AE29" i="3"/>
  <c r="AF29" i="3" s="1"/>
  <c r="AE31" i="3"/>
  <c r="AF31" i="3" s="1"/>
  <c r="AE33" i="3"/>
  <c r="AF33" i="3" s="1"/>
  <c r="AE35" i="3"/>
  <c r="AF35" i="3" s="1"/>
  <c r="AE37" i="3"/>
  <c r="AF37" i="3" s="1"/>
  <c r="AE39" i="3"/>
  <c r="AF39" i="3" s="1"/>
  <c r="AE41" i="3"/>
  <c r="AF41" i="3" s="1"/>
  <c r="AE43" i="3"/>
  <c r="AF43" i="3" s="1"/>
  <c r="AE45" i="3"/>
  <c r="AF45" i="3" s="1"/>
  <c r="AE47" i="3"/>
  <c r="AF47" i="3" s="1"/>
  <c r="AE49" i="3"/>
  <c r="AF49" i="3" s="1"/>
  <c r="AE51" i="3"/>
  <c r="AF51" i="3" s="1"/>
  <c r="AE53" i="3"/>
  <c r="AF53" i="3" s="1"/>
  <c r="AE55" i="3"/>
  <c r="AF55" i="3" s="1"/>
  <c r="AE57" i="3"/>
  <c r="AF57" i="3" s="1"/>
  <c r="AE59" i="3"/>
  <c r="AF59" i="3" s="1"/>
  <c r="AE61" i="3"/>
  <c r="AF61" i="3" s="1"/>
  <c r="AE63" i="3"/>
  <c r="AF63" i="3" s="1"/>
  <c r="AE65" i="3"/>
  <c r="AF65" i="3" s="1"/>
  <c r="AE67" i="3"/>
  <c r="AF67" i="3" s="1"/>
  <c r="AE69" i="3"/>
  <c r="AF69" i="3" s="1"/>
  <c r="AE71" i="3"/>
  <c r="AF71" i="3" s="1"/>
  <c r="AE73" i="3"/>
  <c r="AF73" i="3" s="1"/>
  <c r="AE75" i="3"/>
  <c r="AF75" i="3" s="1"/>
  <c r="AE77" i="3"/>
  <c r="AF77" i="3" s="1"/>
  <c r="AE79" i="3"/>
  <c r="AF79" i="3" s="1"/>
  <c r="AE81" i="3"/>
  <c r="AF81" i="3" s="1"/>
  <c r="AE83" i="3"/>
  <c r="AF83" i="3" s="1"/>
  <c r="AE85" i="3"/>
  <c r="AF85" i="3" s="1"/>
  <c r="AE87" i="3"/>
  <c r="AF87" i="3" s="1"/>
  <c r="AE8" i="3"/>
  <c r="AF8" i="3" s="1"/>
  <c r="AE14" i="3"/>
  <c r="AF14" i="3" s="1"/>
  <c r="AE18" i="3"/>
  <c r="AF18" i="3" s="1"/>
  <c r="AE22" i="3"/>
  <c r="AF22" i="3" s="1"/>
  <c r="AE26" i="3"/>
  <c r="AF26" i="3" s="1"/>
  <c r="AE30" i="3"/>
  <c r="AF30" i="3" s="1"/>
  <c r="AE34" i="3"/>
  <c r="AF34" i="3" s="1"/>
  <c r="AE38" i="3"/>
  <c r="AF38" i="3" s="1"/>
  <c r="AE42" i="3"/>
  <c r="AF42" i="3" s="1"/>
  <c r="AE46" i="3"/>
  <c r="AF46" i="3" s="1"/>
  <c r="AE50" i="3"/>
  <c r="AF50" i="3" s="1"/>
  <c r="AE54" i="3"/>
  <c r="AF54" i="3" s="1"/>
  <c r="AE58" i="3"/>
  <c r="AF58" i="3" s="1"/>
  <c r="AE62" i="3"/>
  <c r="AF62" i="3" s="1"/>
  <c r="AE66" i="3"/>
  <c r="AF66" i="3" s="1"/>
  <c r="AE70" i="3"/>
  <c r="AF70" i="3" s="1"/>
  <c r="AE74" i="3"/>
  <c r="AF74" i="3" s="1"/>
  <c r="AE78" i="3"/>
  <c r="AF78" i="3" s="1"/>
  <c r="AE82" i="3"/>
  <c r="AF82" i="3" s="1"/>
  <c r="AE86" i="3"/>
  <c r="AF86" i="3" s="1"/>
  <c r="AE10" i="3"/>
  <c r="AF10" i="3" s="1"/>
  <c r="AE12" i="3"/>
  <c r="AF12" i="3" s="1"/>
  <c r="AE16" i="3"/>
  <c r="AF16" i="3" s="1"/>
  <c r="AE20" i="3"/>
  <c r="AF20" i="3" s="1"/>
  <c r="AE24" i="3"/>
  <c r="AF24" i="3" s="1"/>
  <c r="AE28" i="3"/>
  <c r="AF28" i="3" s="1"/>
  <c r="AE32" i="3"/>
  <c r="AF32" i="3" s="1"/>
  <c r="AE36" i="3"/>
  <c r="AF36" i="3" s="1"/>
  <c r="AE40" i="3"/>
  <c r="AF40" i="3" s="1"/>
  <c r="AE44" i="3"/>
  <c r="AF44" i="3" s="1"/>
  <c r="AE48" i="3"/>
  <c r="AF48" i="3" s="1"/>
  <c r="AE56" i="3"/>
  <c r="AF56" i="3" s="1"/>
  <c r="AE60" i="3"/>
  <c r="AF60" i="3" s="1"/>
  <c r="AE64" i="3"/>
  <c r="AF64" i="3" s="1"/>
  <c r="AE68" i="3"/>
  <c r="AF68" i="3" s="1"/>
  <c r="AE72" i="3"/>
  <c r="AF72" i="3" s="1"/>
  <c r="AE76" i="3"/>
  <c r="AF76" i="3" s="1"/>
  <c r="AE80" i="3"/>
  <c r="AF80" i="3" s="1"/>
  <c r="AE84" i="3"/>
  <c r="AF84" i="3" s="1"/>
  <c r="AE6" i="3"/>
  <c r="AI6" i="3"/>
  <c r="AJ6" i="3" s="1"/>
  <c r="AI7" i="3"/>
  <c r="AJ7" i="3" s="1"/>
  <c r="AI9" i="3"/>
  <c r="AJ9" i="3" s="1"/>
  <c r="AI11" i="3"/>
  <c r="AJ11" i="3" s="1"/>
  <c r="AI13" i="3"/>
  <c r="AJ13" i="3" s="1"/>
  <c r="AI15" i="3"/>
  <c r="AJ15" i="3" s="1"/>
  <c r="AI17" i="3"/>
  <c r="AJ17" i="3" s="1"/>
  <c r="AI19" i="3"/>
  <c r="AJ19" i="3" s="1"/>
  <c r="AI21" i="3"/>
  <c r="AJ21" i="3" s="1"/>
  <c r="AI23" i="3"/>
  <c r="AJ23" i="3" s="1"/>
  <c r="AI25" i="3"/>
  <c r="AJ25" i="3" s="1"/>
  <c r="AI27" i="3"/>
  <c r="AJ27" i="3" s="1"/>
  <c r="AI29" i="3"/>
  <c r="AJ29" i="3" s="1"/>
  <c r="AI31" i="3"/>
  <c r="AJ31" i="3" s="1"/>
  <c r="AI33" i="3"/>
  <c r="AJ33" i="3" s="1"/>
  <c r="AI35" i="3"/>
  <c r="AJ35" i="3" s="1"/>
  <c r="AI37" i="3"/>
  <c r="AJ37" i="3" s="1"/>
  <c r="AI39" i="3"/>
  <c r="AJ39" i="3" s="1"/>
  <c r="AI41" i="3"/>
  <c r="AJ41" i="3" s="1"/>
  <c r="AI43" i="3"/>
  <c r="AJ43" i="3" s="1"/>
  <c r="AI45" i="3"/>
  <c r="AJ45" i="3" s="1"/>
  <c r="AI47" i="3"/>
  <c r="AJ47" i="3" s="1"/>
  <c r="AI49" i="3"/>
  <c r="AJ49" i="3" s="1"/>
  <c r="AI51" i="3"/>
  <c r="AJ51" i="3" s="1"/>
  <c r="AI53" i="3"/>
  <c r="AJ53" i="3" s="1"/>
  <c r="AI55" i="3"/>
  <c r="AJ55" i="3" s="1"/>
  <c r="AI57" i="3"/>
  <c r="AJ57" i="3" s="1"/>
  <c r="AI59" i="3"/>
  <c r="AJ59" i="3" s="1"/>
  <c r="AI61" i="3"/>
  <c r="AJ61" i="3" s="1"/>
  <c r="AI63" i="3"/>
  <c r="AJ63" i="3" s="1"/>
  <c r="AI65" i="3"/>
  <c r="AJ65" i="3" s="1"/>
  <c r="AI67" i="3"/>
  <c r="AJ67" i="3" s="1"/>
  <c r="AI69" i="3"/>
  <c r="AJ69" i="3" s="1"/>
  <c r="AI71" i="3"/>
  <c r="AJ71" i="3" s="1"/>
  <c r="AI73" i="3"/>
  <c r="AJ73" i="3" s="1"/>
  <c r="AI75" i="3"/>
  <c r="AJ75" i="3" s="1"/>
  <c r="AI77" i="3"/>
  <c r="AJ77" i="3" s="1"/>
  <c r="AI79" i="3"/>
  <c r="AJ79" i="3" s="1"/>
  <c r="AI81" i="3"/>
  <c r="AJ81" i="3" s="1"/>
  <c r="AI83" i="3"/>
  <c r="AJ83" i="3" s="1"/>
  <c r="AI85" i="3"/>
  <c r="AJ85" i="3" s="1"/>
  <c r="AI87" i="3"/>
  <c r="AJ87" i="3" s="1"/>
  <c r="AI8" i="3"/>
  <c r="AI10" i="3"/>
  <c r="AJ10" i="3" s="1"/>
  <c r="AI14" i="3"/>
  <c r="AJ14" i="3" s="1"/>
  <c r="AI18" i="3"/>
  <c r="AJ18" i="3" s="1"/>
  <c r="AI22" i="3"/>
  <c r="AJ22" i="3" s="1"/>
  <c r="AI26" i="3"/>
  <c r="AJ26" i="3" s="1"/>
  <c r="AI30" i="3"/>
  <c r="AJ30" i="3" s="1"/>
  <c r="AI34" i="3"/>
  <c r="AJ34" i="3" s="1"/>
  <c r="AI38" i="3"/>
  <c r="AJ38" i="3" s="1"/>
  <c r="AI42" i="3"/>
  <c r="AJ42" i="3" s="1"/>
  <c r="AI46" i="3"/>
  <c r="AJ46" i="3" s="1"/>
  <c r="AI50" i="3"/>
  <c r="AJ50" i="3" s="1"/>
  <c r="AI54" i="3"/>
  <c r="AJ54" i="3" s="1"/>
  <c r="AI58" i="3"/>
  <c r="AJ58" i="3" s="1"/>
  <c r="AI62" i="3"/>
  <c r="AJ62" i="3" s="1"/>
  <c r="AI66" i="3"/>
  <c r="AJ66" i="3" s="1"/>
  <c r="AI70" i="3"/>
  <c r="AJ70" i="3" s="1"/>
  <c r="AI74" i="3"/>
  <c r="AJ74" i="3" s="1"/>
  <c r="AI78" i="3"/>
  <c r="AJ78" i="3" s="1"/>
  <c r="AI82" i="3"/>
  <c r="AJ82" i="3" s="1"/>
  <c r="AI86" i="3"/>
  <c r="AJ86" i="3" s="1"/>
  <c r="AI12" i="3"/>
  <c r="AJ12" i="3" s="1"/>
  <c r="AI16" i="3"/>
  <c r="AJ16" i="3" s="1"/>
  <c r="AI20" i="3"/>
  <c r="AJ20" i="3" s="1"/>
  <c r="AI24" i="3"/>
  <c r="AJ24" i="3" s="1"/>
  <c r="AI28" i="3"/>
  <c r="AJ28" i="3" s="1"/>
  <c r="AI32" i="3"/>
  <c r="AJ32" i="3" s="1"/>
  <c r="AI36" i="3"/>
  <c r="AJ36" i="3" s="1"/>
  <c r="AI40" i="3"/>
  <c r="AJ40" i="3" s="1"/>
  <c r="AI44" i="3"/>
  <c r="AJ44" i="3" s="1"/>
  <c r="AI48" i="3"/>
  <c r="AJ48" i="3" s="1"/>
  <c r="AI56" i="3"/>
  <c r="AJ56" i="3" s="1"/>
  <c r="AI60" i="3"/>
  <c r="AJ60" i="3" s="1"/>
  <c r="AI64" i="3"/>
  <c r="AJ64" i="3" s="1"/>
  <c r="AI68" i="3"/>
  <c r="AJ68" i="3" s="1"/>
  <c r="AI72" i="3"/>
  <c r="AJ72" i="3" s="1"/>
  <c r="AI76" i="3"/>
  <c r="AJ76" i="3" s="1"/>
  <c r="AI80" i="3"/>
  <c r="AJ80" i="3" s="1"/>
  <c r="AI84" i="3"/>
  <c r="AJ84" i="3" s="1"/>
  <c r="AG34" i="3"/>
  <c r="AH34" i="3" s="1"/>
  <c r="AG23" i="3"/>
  <c r="AH23" i="3" s="1"/>
  <c r="AI52" i="3"/>
  <c r="AJ52" i="3" s="1"/>
  <c r="AG67" i="3"/>
  <c r="AH67" i="3" s="1"/>
  <c r="AE52" i="3"/>
  <c r="AF52" i="3" s="1"/>
  <c r="AG42" i="3"/>
  <c r="AH42" i="3" s="1"/>
  <c r="AG65" i="3"/>
  <c r="AH65" i="3" s="1"/>
  <c r="AG26" i="3"/>
  <c r="AH26" i="3" s="1"/>
  <c r="AG60" i="3"/>
  <c r="AH60" i="3" s="1"/>
  <c r="AG79" i="3"/>
  <c r="AH79" i="3" s="1"/>
  <c r="AG76" i="3"/>
  <c r="AH76" i="3" s="1"/>
  <c r="AG41" i="3"/>
  <c r="AH41" i="3" s="1"/>
  <c r="AG83" i="3"/>
  <c r="AH83" i="3" s="1"/>
  <c r="AG19" i="3"/>
  <c r="AH19" i="3" s="1"/>
  <c r="AG68" i="3"/>
  <c r="AH68" i="3" s="1"/>
  <c r="AG73" i="3"/>
  <c r="AH73" i="3" s="1"/>
  <c r="AG52" i="3"/>
  <c r="AH52" i="3" s="1"/>
  <c r="AG7" i="3"/>
  <c r="AH7" i="3" s="1"/>
  <c r="AG51" i="3"/>
  <c r="AH51" i="3" s="1"/>
  <c r="AG85" i="3"/>
  <c r="AH85" i="3" s="1"/>
  <c r="AG39" i="3"/>
  <c r="AH39" i="3" s="1"/>
  <c r="AG69" i="3"/>
  <c r="AH69" i="3" s="1"/>
  <c r="AG43" i="3"/>
  <c r="AH43" i="3" s="1"/>
  <c r="AG22" i="3"/>
  <c r="AH22" i="3" s="1"/>
  <c r="AG28" i="3"/>
  <c r="AH28" i="3" s="1"/>
  <c r="AG81" i="3"/>
  <c r="AH81" i="3" s="1"/>
  <c r="AG10" i="3"/>
  <c r="AH10" i="3" s="1"/>
  <c r="AG21" i="3"/>
  <c r="AH21" i="3" s="1"/>
  <c r="AG36" i="3"/>
  <c r="AH36" i="3" s="1"/>
  <c r="AG44" i="3"/>
  <c r="AH44" i="3" s="1"/>
  <c r="AG57" i="3"/>
  <c r="AH57" i="3" s="1"/>
  <c r="AG24" i="3"/>
  <c r="AH24" i="3" s="1"/>
  <c r="AG70" i="3"/>
  <c r="AH70" i="3" s="1"/>
  <c r="AG78" i="3"/>
  <c r="AH78" i="3" s="1"/>
  <c r="AG87" i="3"/>
  <c r="AH87" i="3" s="1"/>
  <c r="AG45" i="3"/>
  <c r="AH45" i="3" s="1"/>
  <c r="AG18" i="3"/>
  <c r="AH18" i="3" s="1"/>
  <c r="AG61" i="3"/>
  <c r="AH61" i="3" s="1"/>
  <c r="AG31" i="3"/>
  <c r="AH31" i="3" s="1"/>
  <c r="AG63" i="3"/>
  <c r="AH63" i="3" s="1"/>
  <c r="AG33" i="3"/>
  <c r="AH33" i="3" s="1"/>
  <c r="AG6" i="3"/>
  <c r="AH6" i="3" s="1"/>
  <c r="AG64" i="3"/>
  <c r="AH64" i="3" s="1"/>
  <c r="AG35" i="3"/>
  <c r="AH35" i="3" s="1"/>
  <c r="AG75" i="3"/>
  <c r="AH75" i="3" s="1"/>
  <c r="AG84" i="3"/>
  <c r="AH84" i="3" s="1"/>
  <c r="AG12" i="3"/>
  <c r="AH12" i="3" s="1"/>
  <c r="AG30" i="3"/>
  <c r="AH30" i="3" s="1"/>
  <c r="AG38" i="3"/>
  <c r="AH38" i="3" s="1"/>
  <c r="AG46" i="3"/>
  <c r="AH46" i="3" s="1"/>
  <c r="AG58" i="3"/>
  <c r="AH58" i="3" s="1"/>
  <c r="AG54" i="3"/>
  <c r="AH54" i="3" s="1"/>
  <c r="AG72" i="3"/>
  <c r="AH72" i="3" s="1"/>
  <c r="AG80" i="3"/>
  <c r="AH80" i="3" s="1"/>
  <c r="AG71" i="3"/>
  <c r="AH71" i="3" s="1"/>
  <c r="AG37" i="3"/>
  <c r="AH37" i="3" s="1"/>
  <c r="AG13" i="3"/>
  <c r="AH13" i="3" s="1"/>
  <c r="AG53" i="3"/>
  <c r="AH53" i="3" s="1"/>
  <c r="AG25" i="3"/>
  <c r="AH25" i="3" s="1"/>
  <c r="AG55" i="3"/>
  <c r="AH55" i="3" s="1"/>
  <c r="AG27" i="3"/>
  <c r="AH27" i="3" s="1"/>
  <c r="AG47" i="3"/>
  <c r="AH47" i="3" s="1"/>
  <c r="AG56" i="3"/>
  <c r="AH56" i="3" s="1"/>
  <c r="AG16" i="3"/>
  <c r="AH16" i="3" s="1"/>
  <c r="AG17" i="3"/>
  <c r="AH17" i="3" s="1"/>
  <c r="AG77" i="3"/>
  <c r="AH77" i="3" s="1"/>
  <c r="AG86" i="3"/>
  <c r="AH86" i="3" s="1"/>
  <c r="AG14" i="3"/>
  <c r="AH14" i="3" s="1"/>
  <c r="AG32" i="3"/>
  <c r="AH32" i="3" s="1"/>
  <c r="AG40" i="3"/>
  <c r="AH40" i="3" s="1"/>
  <c r="AG49" i="3"/>
  <c r="AH49" i="3" s="1"/>
  <c r="AG62" i="3"/>
  <c r="AH62" i="3" s="1"/>
  <c r="AG59" i="3"/>
  <c r="AH59" i="3" s="1"/>
  <c r="AG74" i="3"/>
  <c r="AH74" i="3" s="1"/>
  <c r="AG82" i="3"/>
  <c r="AH82" i="3" s="1"/>
  <c r="AG66" i="3"/>
  <c r="AH66" i="3" s="1"/>
  <c r="AG29" i="3"/>
  <c r="AH29" i="3" s="1"/>
  <c r="AG8" i="3"/>
  <c r="AH8" i="3" s="1"/>
  <c r="AG48" i="3"/>
  <c r="AH48" i="3" s="1"/>
  <c r="AG20" i="3"/>
  <c r="AH20" i="3" s="1"/>
  <c r="AG50" i="3"/>
  <c r="AH50" i="3" s="1"/>
  <c r="AG9" i="3"/>
  <c r="AH9" i="3" s="1"/>
  <c r="AE87" i="2"/>
  <c r="AD87" i="2"/>
  <c r="AD62" i="2"/>
  <c r="AD63" i="2"/>
  <c r="AD64" i="2"/>
  <c r="AD65" i="2"/>
  <c r="AD66" i="2"/>
  <c r="AD67" i="2"/>
  <c r="AD68" i="2"/>
  <c r="AD61" i="2"/>
  <c r="AE88" i="3" l="1"/>
  <c r="AF6" i="3"/>
  <c r="AI88" i="3"/>
  <c r="AJ8" i="3"/>
  <c r="AG88" i="3"/>
  <c r="C87" i="2"/>
  <c r="AB87" i="2"/>
  <c r="AC87"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9" i="2"/>
  <c r="AD70" i="2"/>
  <c r="AD71" i="2"/>
  <c r="AD72" i="2"/>
  <c r="AD73" i="2"/>
  <c r="AD74" i="2"/>
  <c r="AD75" i="2"/>
  <c r="AD76" i="2"/>
  <c r="AD77" i="2"/>
  <c r="AD78" i="2"/>
  <c r="AD79" i="2"/>
  <c r="AD80" i="2"/>
  <c r="AD81" i="2"/>
  <c r="AD82" i="2"/>
  <c r="AD83" i="2"/>
  <c r="AD84" i="2"/>
  <c r="AD85" i="2"/>
  <c r="AD86" i="2"/>
  <c r="AD6" i="2"/>
  <c r="P87" i="2"/>
  <c r="O87" i="2"/>
  <c r="N87" i="2"/>
  <c r="M87" i="2"/>
  <c r="L87" i="2"/>
  <c r="J87" i="2"/>
  <c r="I87" i="2"/>
  <c r="H87" i="2"/>
  <c r="K86" i="2"/>
  <c r="E86" i="2"/>
  <c r="K85" i="2"/>
  <c r="E85" i="2"/>
  <c r="D85" i="2" s="1"/>
  <c r="K84" i="2"/>
  <c r="E84" i="2"/>
  <c r="D84" i="2" s="1"/>
  <c r="E83" i="2"/>
  <c r="E82" i="2"/>
  <c r="K81" i="2"/>
  <c r="E81" i="2"/>
  <c r="K80" i="2"/>
  <c r="E80" i="2"/>
  <c r="K79" i="2"/>
  <c r="E79" i="2"/>
  <c r="K78" i="2"/>
  <c r="E78" i="2"/>
  <c r="K77" i="2"/>
  <c r="E77" i="2"/>
  <c r="K76" i="2"/>
  <c r="E76" i="2"/>
  <c r="D76" i="2" s="1"/>
  <c r="K75" i="2"/>
  <c r="E75" i="2"/>
  <c r="K74" i="2"/>
  <c r="E74" i="2"/>
  <c r="K73" i="2"/>
  <c r="E73" i="2"/>
  <c r="D73" i="2" s="1"/>
  <c r="K72" i="2"/>
  <c r="E72" i="2"/>
  <c r="K71" i="2"/>
  <c r="E71" i="2"/>
  <c r="D71" i="2" s="1"/>
  <c r="K70" i="2"/>
  <c r="E70" i="2"/>
  <c r="K69" i="2"/>
  <c r="E69" i="2"/>
  <c r="D69" i="2" s="1"/>
  <c r="K68" i="2"/>
  <c r="E68" i="2"/>
  <c r="K67" i="2"/>
  <c r="E67" i="2"/>
  <c r="E66" i="2"/>
  <c r="K65" i="2"/>
  <c r="E65" i="2"/>
  <c r="D65" i="2" s="1"/>
  <c r="K64" i="2"/>
  <c r="E64" i="2"/>
  <c r="K63" i="2"/>
  <c r="E63" i="2"/>
  <c r="K62" i="2"/>
  <c r="E62" i="2"/>
  <c r="K61" i="2"/>
  <c r="E61" i="2"/>
  <c r="K60" i="2"/>
  <c r="E60" i="2"/>
  <c r="K59" i="2"/>
  <c r="E59" i="2"/>
  <c r="K58" i="2"/>
  <c r="E58" i="2"/>
  <c r="E57" i="2"/>
  <c r="K56" i="2"/>
  <c r="E56" i="2"/>
  <c r="K55" i="2"/>
  <c r="E55" i="2"/>
  <c r="K54" i="2"/>
  <c r="E54" i="2"/>
  <c r="K53" i="2"/>
  <c r="E53" i="2"/>
  <c r="E52" i="2"/>
  <c r="K51" i="2"/>
  <c r="E51" i="2"/>
  <c r="K50" i="2"/>
  <c r="E50" i="2"/>
  <c r="D50" i="2" s="1"/>
  <c r="K49" i="2"/>
  <c r="E49" i="2"/>
  <c r="K48" i="2"/>
  <c r="E48" i="2"/>
  <c r="K47" i="2"/>
  <c r="E47" i="2"/>
  <c r="K46" i="2"/>
  <c r="E46" i="2"/>
  <c r="D46" i="2" s="1"/>
  <c r="K45" i="2"/>
  <c r="E45" i="2"/>
  <c r="K44" i="2"/>
  <c r="E44" i="2"/>
  <c r="K43" i="2"/>
  <c r="E43" i="2"/>
  <c r="K42" i="2"/>
  <c r="E42" i="2"/>
  <c r="K41" i="2"/>
  <c r="E41" i="2"/>
  <c r="K40" i="2"/>
  <c r="E40" i="2"/>
  <c r="K39" i="2"/>
  <c r="E39" i="2"/>
  <c r="K38" i="2"/>
  <c r="E38" i="2"/>
  <c r="K37" i="2"/>
  <c r="E37" i="2"/>
  <c r="K36" i="2"/>
  <c r="E36" i="2"/>
  <c r="K35" i="2"/>
  <c r="E35" i="2"/>
  <c r="D35" i="2" s="1"/>
  <c r="K34" i="2"/>
  <c r="E34" i="2"/>
  <c r="K33" i="2"/>
  <c r="E33" i="2"/>
  <c r="D33" i="2" s="1"/>
  <c r="K32" i="2"/>
  <c r="E32" i="2"/>
  <c r="K31" i="2"/>
  <c r="E31" i="2"/>
  <c r="D31" i="2" s="1"/>
  <c r="K30" i="2"/>
  <c r="E30" i="2"/>
  <c r="E29" i="2"/>
  <c r="K28" i="2"/>
  <c r="E28" i="2"/>
  <c r="K27" i="2"/>
  <c r="E27" i="2"/>
  <c r="K26" i="2"/>
  <c r="E26" i="2"/>
  <c r="K25" i="2"/>
  <c r="E25" i="2"/>
  <c r="K24" i="2"/>
  <c r="E24" i="2"/>
  <c r="D24" i="2" s="1"/>
  <c r="K23" i="2"/>
  <c r="E23" i="2"/>
  <c r="E22" i="2"/>
  <c r="K21" i="2"/>
  <c r="E21" i="2"/>
  <c r="D21" i="2" s="1"/>
  <c r="K20" i="2"/>
  <c r="E20" i="2"/>
  <c r="E19" i="2"/>
  <c r="K18" i="2"/>
  <c r="E18" i="2"/>
  <c r="D18" i="2" s="1"/>
  <c r="K17" i="2"/>
  <c r="E17" i="2"/>
  <c r="K16" i="2"/>
  <c r="E16" i="2"/>
  <c r="E15" i="2"/>
  <c r="D15" i="2" s="1"/>
  <c r="K14" i="2"/>
  <c r="E14" i="2"/>
  <c r="K13" i="2"/>
  <c r="E13" i="2"/>
  <c r="K12" i="2"/>
  <c r="E12" i="2"/>
  <c r="K11" i="2"/>
  <c r="E11" i="2"/>
  <c r="E10" i="2"/>
  <c r="D10" i="2" s="1"/>
  <c r="E9" i="2"/>
  <c r="K8" i="2"/>
  <c r="E8" i="2"/>
  <c r="E7" i="2"/>
  <c r="K6" i="2"/>
  <c r="E6" i="2"/>
  <c r="D34" i="2" l="1"/>
  <c r="D11" i="2"/>
  <c r="D28" i="2"/>
  <c r="D13" i="2"/>
  <c r="D23" i="2"/>
  <c r="D25" i="2"/>
  <c r="D27" i="2"/>
  <c r="D37" i="2"/>
  <c r="D72" i="2"/>
  <c r="D16" i="2"/>
  <c r="D20" i="2"/>
  <c r="D30" i="2"/>
  <c r="D36" i="2"/>
  <c r="D40" i="2"/>
  <c r="D42" i="2"/>
  <c r="D44" i="2"/>
  <c r="D45" i="2"/>
  <c r="D51" i="2"/>
  <c r="D53" i="2"/>
  <c r="D7" i="2"/>
  <c r="D8" i="2"/>
  <c r="D32" i="2"/>
  <c r="D39" i="2"/>
  <c r="D77" i="2"/>
  <c r="D83" i="2"/>
  <c r="D17" i="2"/>
  <c r="D41" i="2"/>
  <c r="D75" i="2"/>
  <c r="D79" i="2"/>
  <c r="D48" i="2"/>
  <c r="D19" i="2"/>
  <c r="D22" i="2"/>
  <c r="D29" i="2"/>
  <c r="D43" i="2"/>
  <c r="D66" i="2"/>
  <c r="D68" i="2"/>
  <c r="D70" i="2"/>
  <c r="D74" i="2"/>
  <c r="E87" i="2"/>
  <c r="D49" i="2"/>
  <c r="D52" i="2"/>
  <c r="D67" i="2"/>
  <c r="D80" i="2"/>
  <c r="D86" i="2"/>
  <c r="D78" i="2"/>
  <c r="D81" i="2"/>
  <c r="D82" i="2"/>
  <c r="AW91" i="1"/>
  <c r="AV91" i="1"/>
  <c r="AU91" i="1"/>
  <c r="AT91" i="1"/>
  <c r="AS91" i="1"/>
  <c r="AR91" i="1"/>
  <c r="AQ91" i="1"/>
  <c r="AP91" i="1"/>
  <c r="AO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I91" i="1"/>
  <c r="H91" i="1"/>
  <c r="G91" i="1"/>
  <c r="F91" i="1"/>
  <c r="E91" i="1"/>
  <c r="D91" i="1"/>
  <c r="C91" i="1"/>
  <c r="BJ87" i="1"/>
  <c r="BI87" i="1"/>
  <c r="BH87" i="1"/>
  <c r="BG87" i="1"/>
  <c r="BF87" i="1"/>
  <c r="BD87" i="1"/>
  <c r="BC87" i="1"/>
  <c r="BB87" i="1"/>
  <c r="AE87" i="1"/>
  <c r="AA87" i="1"/>
  <c r="U87" i="1"/>
  <c r="U92" i="1" s="1"/>
  <c r="O87" i="1"/>
  <c r="N87" i="1"/>
  <c r="M87" i="1"/>
  <c r="L87" i="1"/>
  <c r="J87" i="1"/>
  <c r="H87" i="1"/>
  <c r="G87" i="1"/>
  <c r="F87" i="1"/>
  <c r="F92" i="1" s="1"/>
  <c r="BE86" i="1"/>
  <c r="AY86" i="1"/>
  <c r="AV86" i="1"/>
  <c r="AS86" i="1"/>
  <c r="AM86" i="1"/>
  <c r="AL86" i="1"/>
  <c r="AK86" i="1"/>
  <c r="AD86" i="1"/>
  <c r="Q86" i="1"/>
  <c r="I86" i="1"/>
  <c r="BE85" i="1"/>
  <c r="AY85" i="1"/>
  <c r="AV85" i="1"/>
  <c r="AT85" i="1"/>
  <c r="AS85" i="1"/>
  <c r="AK85" i="1"/>
  <c r="AI85" i="1"/>
  <c r="AW85" i="1" s="1"/>
  <c r="BE84" i="1"/>
  <c r="AY84" i="1"/>
  <c r="AV84" i="1"/>
  <c r="AS84" i="1"/>
  <c r="AL84" i="1"/>
  <c r="AT84" i="1" s="1"/>
  <c r="AK84" i="1"/>
  <c r="AI84" i="1"/>
  <c r="E84" i="1"/>
  <c r="AY83" i="1"/>
  <c r="AV83" i="1"/>
  <c r="AS83" i="1"/>
  <c r="AM83" i="1"/>
  <c r="AT83" i="1" s="1"/>
  <c r="AK83" i="1"/>
  <c r="AI83" i="1"/>
  <c r="AR83" i="1" s="1"/>
  <c r="AY82" i="1"/>
  <c r="AV82" i="1"/>
  <c r="AT82" i="1"/>
  <c r="AS82" i="1"/>
  <c r="AK82" i="1"/>
  <c r="C82" i="1"/>
  <c r="C87" i="1" s="1"/>
  <c r="BE81" i="1"/>
  <c r="AY81" i="1"/>
  <c r="AV81" i="1"/>
  <c r="AS81" i="1"/>
  <c r="AM81" i="1"/>
  <c r="AT81" i="1" s="1"/>
  <c r="AK81" i="1"/>
  <c r="AI81" i="1"/>
  <c r="AD81" i="1"/>
  <c r="BE80" i="1"/>
  <c r="AY80" i="1"/>
  <c r="AV80" i="1"/>
  <c r="AT80" i="1"/>
  <c r="AS80" i="1"/>
  <c r="AK80" i="1"/>
  <c r="AD80" i="1"/>
  <c r="AB80" i="1"/>
  <c r="K80" i="1"/>
  <c r="I80" i="1"/>
  <c r="BE79" i="1"/>
  <c r="AY79" i="1"/>
  <c r="AV79" i="1"/>
  <c r="AS79" i="1"/>
  <c r="AR79" i="1"/>
  <c r="AM79" i="1"/>
  <c r="AL79" i="1"/>
  <c r="AT79" i="1" s="1"/>
  <c r="AU79" i="1" s="1"/>
  <c r="AK79" i="1"/>
  <c r="AJ79" i="1"/>
  <c r="AI79" i="1"/>
  <c r="BE78" i="1"/>
  <c r="AY78" i="1"/>
  <c r="AV78" i="1"/>
  <c r="AT78" i="1"/>
  <c r="AS78" i="1"/>
  <c r="AM78" i="1"/>
  <c r="AK78" i="1"/>
  <c r="AD78" i="1"/>
  <c r="AI78" i="1" s="1"/>
  <c r="AW78" i="1" s="1"/>
  <c r="BE77" i="1"/>
  <c r="AY77" i="1"/>
  <c r="AV77" i="1"/>
  <c r="AT77" i="1"/>
  <c r="AS77" i="1"/>
  <c r="AM77" i="1"/>
  <c r="AK77" i="1"/>
  <c r="AI77" i="1"/>
  <c r="AW77" i="1" s="1"/>
  <c r="BE76" i="1"/>
  <c r="AY76" i="1"/>
  <c r="AV76" i="1"/>
  <c r="AS76" i="1"/>
  <c r="AM76" i="1"/>
  <c r="AT76" i="1" s="1"/>
  <c r="AK76" i="1"/>
  <c r="AH76" i="1"/>
  <c r="AF76" i="1"/>
  <c r="BE75" i="1"/>
  <c r="AY75" i="1"/>
  <c r="AV75" i="1"/>
  <c r="AT75" i="1"/>
  <c r="AS75" i="1"/>
  <c r="AK75" i="1"/>
  <c r="AD75" i="1"/>
  <c r="AI75" i="1" s="1"/>
  <c r="BE74" i="1"/>
  <c r="AY74" i="1"/>
  <c r="AV74" i="1"/>
  <c r="AS74" i="1"/>
  <c r="AO74" i="1"/>
  <c r="AM74" i="1"/>
  <c r="AK74" i="1"/>
  <c r="AD74" i="1"/>
  <c r="X74" i="1"/>
  <c r="S74" i="1"/>
  <c r="P74" i="1"/>
  <c r="BE73" i="1"/>
  <c r="AY73" i="1"/>
  <c r="AV73" i="1"/>
  <c r="AS73" i="1"/>
  <c r="AL73" i="1"/>
  <c r="AT73" i="1" s="1"/>
  <c r="AK73" i="1"/>
  <c r="AI73" i="1"/>
  <c r="AR73" i="1" s="1"/>
  <c r="BE72" i="1"/>
  <c r="AY72" i="1"/>
  <c r="AV72" i="1"/>
  <c r="AS72" i="1"/>
  <c r="AM72" i="1"/>
  <c r="AT72" i="1" s="1"/>
  <c r="AU72" i="1" s="1"/>
  <c r="AK72" i="1"/>
  <c r="AI72" i="1"/>
  <c r="K72" i="1"/>
  <c r="BE71" i="1"/>
  <c r="AY71" i="1"/>
  <c r="AV71" i="1"/>
  <c r="AT71" i="1"/>
  <c r="AS71" i="1"/>
  <c r="AM71" i="1"/>
  <c r="AK71" i="1"/>
  <c r="AI71" i="1"/>
  <c r="AW71" i="1" s="1"/>
  <c r="BE70" i="1"/>
  <c r="AY70" i="1"/>
  <c r="AV70" i="1"/>
  <c r="AS70" i="1"/>
  <c r="AM70" i="1"/>
  <c r="AL70" i="1"/>
  <c r="AK70" i="1"/>
  <c r="AI70" i="1"/>
  <c r="AR70" i="1" s="1"/>
  <c r="BE69" i="1"/>
  <c r="AY69" i="1"/>
  <c r="AV69" i="1"/>
  <c r="AS69" i="1"/>
  <c r="AM69" i="1"/>
  <c r="AT69" i="1" s="1"/>
  <c r="AU69" i="1" s="1"/>
  <c r="AK69" i="1"/>
  <c r="AD69" i="1"/>
  <c r="X69" i="1"/>
  <c r="S69" i="1"/>
  <c r="AI69" i="1" s="1"/>
  <c r="BE68" i="1"/>
  <c r="AY68" i="1"/>
  <c r="AV68" i="1"/>
  <c r="AS68" i="1"/>
  <c r="AM68" i="1"/>
  <c r="AT68" i="1" s="1"/>
  <c r="AK68" i="1"/>
  <c r="AI68" i="1"/>
  <c r="AR68" i="1" s="1"/>
  <c r="BE67" i="1"/>
  <c r="AY67" i="1"/>
  <c r="AV67" i="1"/>
  <c r="AT67" i="1"/>
  <c r="AS67" i="1"/>
  <c r="AM67" i="1"/>
  <c r="AK67" i="1"/>
  <c r="AI67" i="1"/>
  <c r="AW67" i="1" s="1"/>
  <c r="V67" i="1"/>
  <c r="AY66" i="1"/>
  <c r="AV66" i="1"/>
  <c r="AS66" i="1"/>
  <c r="AM66" i="1"/>
  <c r="AT66" i="1" s="1"/>
  <c r="AK66" i="1"/>
  <c r="AD66" i="1"/>
  <c r="AI66" i="1" s="1"/>
  <c r="BE65" i="1"/>
  <c r="AY65" i="1"/>
  <c r="AV65" i="1"/>
  <c r="AS65" i="1"/>
  <c r="AM65" i="1"/>
  <c r="AL65" i="1"/>
  <c r="AK65" i="1"/>
  <c r="AF65" i="1"/>
  <c r="AD65" i="1"/>
  <c r="S65" i="1"/>
  <c r="AI65" i="1" s="1"/>
  <c r="BE64" i="1"/>
  <c r="AY64" i="1"/>
  <c r="AT64" i="1"/>
  <c r="AS64" i="1"/>
  <c r="AK64" i="1"/>
  <c r="AI64" i="1"/>
  <c r="AR64" i="1" s="1"/>
  <c r="BE63" i="1"/>
  <c r="AY63" i="1"/>
  <c r="AS63" i="1"/>
  <c r="AM63" i="1"/>
  <c r="AL63" i="1"/>
  <c r="AK63" i="1"/>
  <c r="AD63" i="1"/>
  <c r="AI63" i="1" s="1"/>
  <c r="BE62" i="1"/>
  <c r="AY62" i="1"/>
  <c r="AV62" i="1"/>
  <c r="AS62" i="1"/>
  <c r="AM62" i="1"/>
  <c r="AT62" i="1" s="1"/>
  <c r="AK62" i="1"/>
  <c r="P62" i="1"/>
  <c r="K62" i="1"/>
  <c r="AI62" i="1" s="1"/>
  <c r="BE61" i="1"/>
  <c r="AY61" i="1"/>
  <c r="AS61" i="1"/>
  <c r="AM61" i="1"/>
  <c r="AL61" i="1"/>
  <c r="AT61" i="1" s="1"/>
  <c r="AK61" i="1"/>
  <c r="AD61" i="1"/>
  <c r="AI61" i="1" s="1"/>
  <c r="AR61" i="1" s="1"/>
  <c r="BE60" i="1"/>
  <c r="AY60" i="1"/>
  <c r="AS60" i="1"/>
  <c r="AM60" i="1"/>
  <c r="AT60" i="1" s="1"/>
  <c r="AW60" i="1" s="1"/>
  <c r="AK60" i="1"/>
  <c r="AI60" i="1"/>
  <c r="AR60" i="1" s="1"/>
  <c r="BE59" i="1"/>
  <c r="AY59" i="1"/>
  <c r="AS59" i="1"/>
  <c r="AM59" i="1"/>
  <c r="AL59" i="1"/>
  <c r="AT59" i="1" s="1"/>
  <c r="AK59" i="1"/>
  <c r="I59" i="1"/>
  <c r="AI59" i="1" s="1"/>
  <c r="AR59" i="1" s="1"/>
  <c r="BE58" i="1"/>
  <c r="AY58" i="1"/>
  <c r="AT58" i="1"/>
  <c r="AS58" i="1"/>
  <c r="AK58" i="1"/>
  <c r="AI58" i="1"/>
  <c r="AY57" i="1"/>
  <c r="AT57" i="1"/>
  <c r="AS57" i="1"/>
  <c r="AK57" i="1"/>
  <c r="AI57" i="1"/>
  <c r="AJ57" i="1" s="1"/>
  <c r="BE56" i="1"/>
  <c r="AY56" i="1"/>
  <c r="AS56" i="1"/>
  <c r="AM56" i="1"/>
  <c r="AT56" i="1" s="1"/>
  <c r="AK56" i="1"/>
  <c r="V56" i="1"/>
  <c r="AI56" i="1" s="1"/>
  <c r="BE55" i="1"/>
  <c r="AY55" i="1"/>
  <c r="AS55" i="1"/>
  <c r="AM55" i="1"/>
  <c r="AT55" i="1" s="1"/>
  <c r="AK55" i="1"/>
  <c r="V55" i="1"/>
  <c r="T55" i="1"/>
  <c r="T87" i="1" s="1"/>
  <c r="BE54" i="1"/>
  <c r="AY54" i="1"/>
  <c r="AS54" i="1"/>
  <c r="AL54" i="1"/>
  <c r="AT54" i="1" s="1"/>
  <c r="AW54" i="1" s="1"/>
  <c r="AK54" i="1"/>
  <c r="AJ54" i="1"/>
  <c r="AI54" i="1"/>
  <c r="AR54" i="1" s="1"/>
  <c r="BE53" i="1"/>
  <c r="AY53" i="1"/>
  <c r="AV53" i="1"/>
  <c r="AT53" i="1"/>
  <c r="AS53" i="1"/>
  <c r="AK53" i="1"/>
  <c r="AD53" i="1"/>
  <c r="AB53" i="1"/>
  <c r="W53" i="1"/>
  <c r="W87" i="1" s="1"/>
  <c r="V53" i="1"/>
  <c r="S53" i="1"/>
  <c r="R53" i="1"/>
  <c r="R87" i="1" s="1"/>
  <c r="AY52" i="1"/>
  <c r="AV52" i="1"/>
  <c r="AS52" i="1"/>
  <c r="AM52" i="1"/>
  <c r="AT52" i="1" s="1"/>
  <c r="AU52" i="1" s="1"/>
  <c r="AK52" i="1"/>
  <c r="V52" i="1"/>
  <c r="E52" i="1"/>
  <c r="BE51" i="1"/>
  <c r="AY51" i="1"/>
  <c r="AV51" i="1"/>
  <c r="AS51" i="1"/>
  <c r="AM51" i="1"/>
  <c r="AT51" i="1" s="1"/>
  <c r="AU51" i="1" s="1"/>
  <c r="AK51" i="1"/>
  <c r="AF51" i="1"/>
  <c r="AD51" i="1"/>
  <c r="E51" i="1"/>
  <c r="AI51" i="1" s="1"/>
  <c r="BE50" i="1"/>
  <c r="AY50" i="1"/>
  <c r="AV50" i="1"/>
  <c r="AT50" i="1"/>
  <c r="AS50" i="1"/>
  <c r="AM50" i="1"/>
  <c r="AK50" i="1"/>
  <c r="AI50" i="1"/>
  <c r="AJ50" i="1" s="1"/>
  <c r="AH50" i="1"/>
  <c r="BE49" i="1"/>
  <c r="AY49" i="1"/>
  <c r="AV49" i="1"/>
  <c r="AT49" i="1"/>
  <c r="AS49" i="1"/>
  <c r="AK49" i="1"/>
  <c r="AI49" i="1"/>
  <c r="AW49" i="1" s="1"/>
  <c r="AX49" i="1" s="1"/>
  <c r="BE48" i="1"/>
  <c r="AY48" i="1"/>
  <c r="AV48" i="1"/>
  <c r="AS48" i="1"/>
  <c r="AL48" i="1"/>
  <c r="AT48" i="1" s="1"/>
  <c r="AK48" i="1"/>
  <c r="Q48" i="1"/>
  <c r="AI48" i="1" s="1"/>
  <c r="BE47" i="1"/>
  <c r="AY47" i="1"/>
  <c r="AV47" i="1"/>
  <c r="AS47" i="1"/>
  <c r="AM47" i="1"/>
  <c r="AT47" i="1" s="1"/>
  <c r="AK47" i="1"/>
  <c r="AI47" i="1"/>
  <c r="AD47" i="1"/>
  <c r="Y47" i="1"/>
  <c r="Y87" i="1" s="1"/>
  <c r="BE46" i="1"/>
  <c r="AY46" i="1"/>
  <c r="AV46" i="1"/>
  <c r="AS46" i="1"/>
  <c r="AM46" i="1"/>
  <c r="AT46" i="1" s="1"/>
  <c r="AK46" i="1"/>
  <c r="Q46" i="1"/>
  <c r="AI46" i="1" s="1"/>
  <c r="BE45" i="1"/>
  <c r="AY45" i="1"/>
  <c r="AV45" i="1"/>
  <c r="AS45" i="1"/>
  <c r="AM45" i="1"/>
  <c r="AT45" i="1" s="1"/>
  <c r="AU45" i="1" s="1"/>
  <c r="AK45" i="1"/>
  <c r="AD45" i="1"/>
  <c r="AI45" i="1" s="1"/>
  <c r="K45" i="1"/>
  <c r="BE44" i="1"/>
  <c r="AY44" i="1"/>
  <c r="AV44" i="1"/>
  <c r="AS44" i="1"/>
  <c r="AM44" i="1"/>
  <c r="AT44" i="1" s="1"/>
  <c r="AK44" i="1"/>
  <c r="AI44" i="1"/>
  <c r="Z44" i="1"/>
  <c r="BE43" i="1"/>
  <c r="AY43" i="1"/>
  <c r="AV43" i="1"/>
  <c r="AT43" i="1"/>
  <c r="AS43" i="1"/>
  <c r="AK43" i="1"/>
  <c r="AJ43" i="1" s="1"/>
  <c r="AI43" i="1"/>
  <c r="AR43" i="1" s="1"/>
  <c r="BE42" i="1"/>
  <c r="AY42" i="1"/>
  <c r="AV42" i="1"/>
  <c r="AS42" i="1"/>
  <c r="AL42" i="1"/>
  <c r="AT42" i="1" s="1"/>
  <c r="AK42" i="1"/>
  <c r="AJ42" i="1" s="1"/>
  <c r="AI42" i="1"/>
  <c r="AR42" i="1" s="1"/>
  <c r="BE41" i="1"/>
  <c r="AY41" i="1"/>
  <c r="AV41" i="1"/>
  <c r="AS41" i="1"/>
  <c r="AM41" i="1"/>
  <c r="AT41" i="1" s="1"/>
  <c r="AK41" i="1"/>
  <c r="AD41" i="1"/>
  <c r="AI41" i="1" s="1"/>
  <c r="BE40" i="1"/>
  <c r="AY40" i="1"/>
  <c r="AV40" i="1"/>
  <c r="AT40" i="1"/>
  <c r="AS40" i="1"/>
  <c r="AK40" i="1"/>
  <c r="AH40" i="1"/>
  <c r="AI40" i="1" s="1"/>
  <c r="AJ40" i="1" s="1"/>
  <c r="BE39" i="1"/>
  <c r="AY39" i="1"/>
  <c r="AV39" i="1"/>
  <c r="AT39" i="1"/>
  <c r="AS39" i="1"/>
  <c r="AM39" i="1"/>
  <c r="AK39" i="1"/>
  <c r="Q39" i="1"/>
  <c r="AI39" i="1" s="1"/>
  <c r="BE38" i="1"/>
  <c r="AY38" i="1"/>
  <c r="AV38" i="1"/>
  <c r="AS38" i="1"/>
  <c r="AM38" i="1"/>
  <c r="AT38" i="1" s="1"/>
  <c r="AK38" i="1"/>
  <c r="AD38" i="1"/>
  <c r="Q38" i="1"/>
  <c r="P38" i="1"/>
  <c r="P87" i="1" s="1"/>
  <c r="BE37" i="1"/>
  <c r="AY37" i="1"/>
  <c r="AV37" i="1"/>
  <c r="AS37" i="1"/>
  <c r="AM37" i="1"/>
  <c r="AT37" i="1" s="1"/>
  <c r="AK37" i="1"/>
  <c r="Z37" i="1"/>
  <c r="AI37" i="1" s="1"/>
  <c r="AW37" i="1" s="1"/>
  <c r="BE36" i="1"/>
  <c r="AY36" i="1"/>
  <c r="AV36" i="1"/>
  <c r="AS36" i="1"/>
  <c r="AM36" i="1"/>
  <c r="AT36" i="1" s="1"/>
  <c r="AK36" i="1"/>
  <c r="AD36" i="1"/>
  <c r="K36" i="1"/>
  <c r="BE35" i="1"/>
  <c r="AY35" i="1"/>
  <c r="AV35" i="1"/>
  <c r="AT35" i="1"/>
  <c r="AS35" i="1"/>
  <c r="AK35" i="1"/>
  <c r="AI35" i="1"/>
  <c r="AJ35" i="1" s="1"/>
  <c r="BE34" i="1"/>
  <c r="AY34" i="1"/>
  <c r="AV34" i="1"/>
  <c r="AT34" i="1"/>
  <c r="AS34" i="1"/>
  <c r="AM34" i="1"/>
  <c r="AK34" i="1"/>
  <c r="AI34" i="1"/>
  <c r="AR34" i="1" s="1"/>
  <c r="AD34" i="1"/>
  <c r="BE33" i="1"/>
  <c r="AY33" i="1"/>
  <c r="AV33" i="1"/>
  <c r="AS33" i="1"/>
  <c r="AM33" i="1"/>
  <c r="AT33" i="1" s="1"/>
  <c r="AK33" i="1"/>
  <c r="AD33" i="1"/>
  <c r="AI33" i="1" s="1"/>
  <c r="BE32" i="1"/>
  <c r="AY32" i="1"/>
  <c r="AV32" i="1"/>
  <c r="AT32" i="1"/>
  <c r="AS32" i="1"/>
  <c r="AK32" i="1"/>
  <c r="AD32" i="1"/>
  <c r="AI32" i="1" s="1"/>
  <c r="Z32" i="1"/>
  <c r="BE31" i="1"/>
  <c r="AY31" i="1"/>
  <c r="AV31" i="1"/>
  <c r="AS31" i="1"/>
  <c r="AM31" i="1"/>
  <c r="AT31" i="1" s="1"/>
  <c r="AK31" i="1"/>
  <c r="AD31" i="1"/>
  <c r="AI31" i="1" s="1"/>
  <c r="BE30" i="1"/>
  <c r="AY30" i="1"/>
  <c r="AV30" i="1"/>
  <c r="AS30" i="1"/>
  <c r="AM30" i="1"/>
  <c r="AL30" i="1"/>
  <c r="AK30" i="1"/>
  <c r="AJ30" i="1" s="1"/>
  <c r="AI30" i="1"/>
  <c r="AR30" i="1" s="1"/>
  <c r="AY29" i="1"/>
  <c r="AV29" i="1"/>
  <c r="AT29" i="1"/>
  <c r="AS29" i="1"/>
  <c r="AM29" i="1"/>
  <c r="AK29" i="1"/>
  <c r="AI29" i="1"/>
  <c r="AR29" i="1" s="1"/>
  <c r="BE28" i="1"/>
  <c r="AY28" i="1"/>
  <c r="AV28" i="1"/>
  <c r="AS28" i="1"/>
  <c r="AM28" i="1"/>
  <c r="AL28" i="1"/>
  <c r="AT28" i="1" s="1"/>
  <c r="AK28" i="1"/>
  <c r="AI28" i="1"/>
  <c r="BE27" i="1"/>
  <c r="AY27" i="1"/>
  <c r="AV27" i="1"/>
  <c r="AS27" i="1"/>
  <c r="AM27" i="1"/>
  <c r="AT27" i="1" s="1"/>
  <c r="AK27" i="1"/>
  <c r="AC27" i="1"/>
  <c r="AC87" i="1" s="1"/>
  <c r="Z27" i="1"/>
  <c r="AI27" i="1" s="1"/>
  <c r="BE26" i="1"/>
  <c r="AY26" i="1"/>
  <c r="AV26" i="1"/>
  <c r="AS26" i="1"/>
  <c r="AM26" i="1"/>
  <c r="AT26" i="1" s="1"/>
  <c r="AK26" i="1"/>
  <c r="Z26" i="1"/>
  <c r="Z87" i="1" s="1"/>
  <c r="X26" i="1"/>
  <c r="BE25" i="1"/>
  <c r="AY25" i="1"/>
  <c r="AV25" i="1"/>
  <c r="AT25" i="1"/>
  <c r="AS25" i="1"/>
  <c r="AK25" i="1"/>
  <c r="AD25" i="1"/>
  <c r="E25" i="1"/>
  <c r="AI25" i="1" s="1"/>
  <c r="BE24" i="1"/>
  <c r="AY24" i="1"/>
  <c r="AV24" i="1"/>
  <c r="AT24" i="1"/>
  <c r="AS24" i="1"/>
  <c r="AM24" i="1"/>
  <c r="AK24" i="1"/>
  <c r="AI24" i="1"/>
  <c r="AR24" i="1" s="1"/>
  <c r="BE23" i="1"/>
  <c r="AY23" i="1"/>
  <c r="AV23" i="1"/>
  <c r="AT23" i="1"/>
  <c r="AS23" i="1"/>
  <c r="AK23" i="1"/>
  <c r="AI23" i="1"/>
  <c r="AR23" i="1" s="1"/>
  <c r="AD23" i="1"/>
  <c r="AY22" i="1"/>
  <c r="AV22" i="1"/>
  <c r="AT22" i="1"/>
  <c r="AS22" i="1"/>
  <c r="AM22" i="1"/>
  <c r="AK22" i="1"/>
  <c r="AI22" i="1"/>
  <c r="AR22" i="1" s="1"/>
  <c r="BE21" i="1"/>
  <c r="AY21" i="1"/>
  <c r="AV21" i="1"/>
  <c r="AS21" i="1"/>
  <c r="AM21" i="1"/>
  <c r="AT21" i="1" s="1"/>
  <c r="AK21" i="1"/>
  <c r="AD21" i="1"/>
  <c r="I21" i="1"/>
  <c r="AI21" i="1" s="1"/>
  <c r="E21" i="1"/>
  <c r="BE20" i="1"/>
  <c r="AY20" i="1"/>
  <c r="AV20" i="1"/>
  <c r="AS20" i="1"/>
  <c r="AM20" i="1"/>
  <c r="AL20" i="1"/>
  <c r="AK20" i="1"/>
  <c r="AG20" i="1"/>
  <c r="AG87" i="1" s="1"/>
  <c r="K20" i="1"/>
  <c r="AI20" i="1" s="1"/>
  <c r="AY19" i="1"/>
  <c r="AV19" i="1"/>
  <c r="AS19" i="1"/>
  <c r="AM19" i="1"/>
  <c r="AT19" i="1" s="1"/>
  <c r="AK19" i="1"/>
  <c r="AI19" i="1"/>
  <c r="AR19" i="1" s="1"/>
  <c r="BE18" i="1"/>
  <c r="AY18" i="1"/>
  <c r="AV18" i="1"/>
  <c r="AU18" i="1" s="1"/>
  <c r="AT18" i="1"/>
  <c r="AS18" i="1"/>
  <c r="AK18" i="1"/>
  <c r="AJ18" i="1" s="1"/>
  <c r="AI18" i="1"/>
  <c r="AW18" i="1" s="1"/>
  <c r="BE17" i="1"/>
  <c r="AY17" i="1"/>
  <c r="AV17" i="1"/>
  <c r="AS17" i="1"/>
  <c r="AM17" i="1"/>
  <c r="AT17" i="1" s="1"/>
  <c r="AK17" i="1"/>
  <c r="Q17" i="1"/>
  <c r="K17" i="1"/>
  <c r="BE16" i="1"/>
  <c r="AY16" i="1"/>
  <c r="AV16" i="1"/>
  <c r="AS16" i="1"/>
  <c r="AQ16" i="1"/>
  <c r="AQ87" i="1" s="1"/>
  <c r="AM16" i="1"/>
  <c r="AK16" i="1"/>
  <c r="AD16" i="1"/>
  <c r="S16" i="1"/>
  <c r="AI16" i="1" s="1"/>
  <c r="AY15" i="1"/>
  <c r="AV15" i="1"/>
  <c r="AT15" i="1"/>
  <c r="AS15" i="1"/>
  <c r="AK15" i="1"/>
  <c r="AI15" i="1"/>
  <c r="AJ15" i="1" s="1"/>
  <c r="BE14" i="1"/>
  <c r="AY14" i="1"/>
  <c r="AV14" i="1"/>
  <c r="AS14" i="1"/>
  <c r="AO14" i="1"/>
  <c r="AM14" i="1"/>
  <c r="AT14" i="1" s="1"/>
  <c r="AK14" i="1"/>
  <c r="AB14" i="1"/>
  <c r="AB87" i="1" s="1"/>
  <c r="S14" i="1"/>
  <c r="K14" i="1"/>
  <c r="AI14" i="1" s="1"/>
  <c r="BE13" i="1"/>
  <c r="AY13" i="1"/>
  <c r="AV13" i="1"/>
  <c r="AT13" i="1"/>
  <c r="AS13" i="1"/>
  <c r="AK13" i="1"/>
  <c r="AI13" i="1"/>
  <c r="AR13" i="1" s="1"/>
  <c r="K13" i="1"/>
  <c r="BE12" i="1"/>
  <c r="AY12" i="1"/>
  <c r="AV12" i="1"/>
  <c r="AS12" i="1"/>
  <c r="AM12" i="1"/>
  <c r="AT12" i="1" s="1"/>
  <c r="AK12" i="1"/>
  <c r="AD12" i="1"/>
  <c r="V12" i="1"/>
  <c r="I12" i="1"/>
  <c r="E12" i="1"/>
  <c r="D12" i="1"/>
  <c r="D87" i="1" s="1"/>
  <c r="BE11" i="1"/>
  <c r="AY11" i="1"/>
  <c r="AV11" i="1"/>
  <c r="AS11" i="1"/>
  <c r="AM11" i="1"/>
  <c r="AT11" i="1" s="1"/>
  <c r="AK11" i="1"/>
  <c r="AH11" i="1"/>
  <c r="K11" i="1"/>
  <c r="AI11" i="1" s="1"/>
  <c r="AY10" i="1"/>
  <c r="AV10" i="1"/>
  <c r="AS10" i="1"/>
  <c r="AM10" i="1"/>
  <c r="AT10" i="1" s="1"/>
  <c r="AK10" i="1"/>
  <c r="Q10" i="1"/>
  <c r="AI10" i="1" s="1"/>
  <c r="AY9" i="1"/>
  <c r="AV9" i="1"/>
  <c r="AS9" i="1"/>
  <c r="AO9" i="1"/>
  <c r="AK9" i="1"/>
  <c r="AI9" i="1"/>
  <c r="AD9" i="1"/>
  <c r="K9" i="1"/>
  <c r="BE8" i="1"/>
  <c r="AY8" i="1"/>
  <c r="AV8" i="1"/>
  <c r="AS8" i="1"/>
  <c r="AM8" i="1"/>
  <c r="AT8" i="1" s="1"/>
  <c r="AK8" i="1"/>
  <c r="AI8" i="1"/>
  <c r="AY7" i="1"/>
  <c r="AV7" i="1"/>
  <c r="AS7" i="1"/>
  <c r="AM7" i="1"/>
  <c r="AT7" i="1" s="1"/>
  <c r="AK7" i="1"/>
  <c r="AI7" i="1"/>
  <c r="BE6" i="1"/>
  <c r="AY6" i="1"/>
  <c r="AV6" i="1"/>
  <c r="AS6" i="1"/>
  <c r="AM6" i="1"/>
  <c r="AK6" i="1"/>
  <c r="AI6" i="1"/>
  <c r="Q6" i="1"/>
  <c r="BD5" i="1"/>
  <c r="AU22" i="1" l="1"/>
  <c r="AX37" i="1"/>
  <c r="AU39" i="1"/>
  <c r="AU67" i="1"/>
  <c r="AU82" i="1"/>
  <c r="AU42" i="1"/>
  <c r="AX71" i="1"/>
  <c r="AU81" i="1"/>
  <c r="AU84" i="1"/>
  <c r="AU10" i="1"/>
  <c r="AX67" i="1"/>
  <c r="AU8" i="1"/>
  <c r="AU32" i="1"/>
  <c r="AU75" i="1"/>
  <c r="AU77" i="1"/>
  <c r="AJ32" i="1"/>
  <c r="AJ47" i="1"/>
  <c r="J92" i="1"/>
  <c r="AU28" i="1"/>
  <c r="AU27" i="1"/>
  <c r="AX77" i="1"/>
  <c r="AX78" i="1"/>
  <c r="AU19" i="1"/>
  <c r="AU37" i="1"/>
  <c r="AU62" i="1"/>
  <c r="AU11" i="1"/>
  <c r="AU13" i="1"/>
  <c r="AU14" i="1"/>
  <c r="AU17" i="1"/>
  <c r="AU23" i="1"/>
  <c r="AU25" i="1"/>
  <c r="AU29" i="1"/>
  <c r="AU36" i="1"/>
  <c r="AU40" i="1"/>
  <c r="AU46" i="1"/>
  <c r="AU48" i="1"/>
  <c r="D47" i="2"/>
  <c r="D38" i="2"/>
  <c r="D26" i="2"/>
  <c r="D14" i="2"/>
  <c r="D62" i="2"/>
  <c r="D9" i="2"/>
  <c r="D12" i="2"/>
  <c r="AR11" i="1"/>
  <c r="AJ11" i="1"/>
  <c r="AW11" i="1"/>
  <c r="AX11" i="1" s="1"/>
  <c r="AR45" i="1"/>
  <c r="AJ45" i="1"/>
  <c r="AW45" i="1"/>
  <c r="AX45" i="1" s="1"/>
  <c r="AW56" i="1"/>
  <c r="AR27" i="1"/>
  <c r="AJ27" i="1"/>
  <c r="AW27" i="1"/>
  <c r="AX27" i="1" s="1"/>
  <c r="AS87" i="1"/>
  <c r="AJ13" i="1"/>
  <c r="S87" i="1"/>
  <c r="AU15" i="1"/>
  <c r="AI17" i="1"/>
  <c r="AW17" i="1" s="1"/>
  <c r="AX17" i="1" s="1"/>
  <c r="AX18" i="1"/>
  <c r="AL87" i="1"/>
  <c r="AJ22" i="1"/>
  <c r="AJ23" i="1"/>
  <c r="AJ24" i="1"/>
  <c r="AU24" i="1"/>
  <c r="AI26" i="1"/>
  <c r="AJ29" i="1"/>
  <c r="AT30" i="1"/>
  <c r="AJ34" i="1"/>
  <c r="AU34" i="1"/>
  <c r="AU35" i="1"/>
  <c r="AI36" i="1"/>
  <c r="AI38" i="1"/>
  <c r="AR49" i="1"/>
  <c r="AW57" i="1"/>
  <c r="AJ68" i="1"/>
  <c r="AU71" i="1"/>
  <c r="AI76" i="1"/>
  <c r="AU78" i="1"/>
  <c r="AW79" i="1"/>
  <c r="AX79" i="1" s="1"/>
  <c r="AU80" i="1"/>
  <c r="AV87" i="1"/>
  <c r="AV92" i="1" s="1"/>
  <c r="AO87" i="1"/>
  <c r="AU12" i="1"/>
  <c r="AU31" i="1"/>
  <c r="AU33" i="1"/>
  <c r="AU41" i="1"/>
  <c r="AU44" i="1"/>
  <c r="AU47" i="1"/>
  <c r="AF87" i="1"/>
  <c r="AW72" i="1"/>
  <c r="AX72" i="1" s="1"/>
  <c r="AI74" i="1"/>
  <c r="AW81" i="1"/>
  <c r="AX81" i="1" s="1"/>
  <c r="AW84" i="1"/>
  <c r="AX84" i="1" s="1"/>
  <c r="AX85" i="1"/>
  <c r="AU85" i="1"/>
  <c r="AT86" i="1"/>
  <c r="AU86" i="1" s="1"/>
  <c r="AU7" i="1"/>
  <c r="AW8" i="1"/>
  <c r="AX8" i="1" s="1"/>
  <c r="V87" i="1"/>
  <c r="AT16" i="1"/>
  <c r="AU16" i="1" s="1"/>
  <c r="AR18" i="1"/>
  <c r="AJ19" i="1"/>
  <c r="AU21" i="1"/>
  <c r="AW24" i="1"/>
  <c r="AX24" i="1" s="1"/>
  <c r="X87" i="1"/>
  <c r="AU26" i="1"/>
  <c r="AW34" i="1"/>
  <c r="AX34" i="1" s="1"/>
  <c r="AU38" i="1"/>
  <c r="AU43" i="1"/>
  <c r="AJ49" i="1"/>
  <c r="AU49" i="1"/>
  <c r="AI53" i="1"/>
  <c r="AR53" i="1" s="1"/>
  <c r="AU53" i="1"/>
  <c r="AI55" i="1"/>
  <c r="AR55" i="1" s="1"/>
  <c r="AJ58" i="1"/>
  <c r="AW58" i="1"/>
  <c r="AJ60" i="1"/>
  <c r="AT63" i="1"/>
  <c r="AW63" i="1" s="1"/>
  <c r="AT65" i="1"/>
  <c r="AU65" i="1" s="1"/>
  <c r="AU66" i="1"/>
  <c r="AT70" i="1"/>
  <c r="AJ73" i="1"/>
  <c r="AT74" i="1"/>
  <c r="AU74" i="1" s="1"/>
  <c r="AU76" i="1"/>
  <c r="AI80" i="1"/>
  <c r="AI82" i="1"/>
  <c r="AJ82" i="1" s="1"/>
  <c r="AJ83" i="1"/>
  <c r="AJ85" i="1"/>
  <c r="AI86" i="1"/>
  <c r="AW7" i="1"/>
  <c r="AX7" i="1" s="1"/>
  <c r="AW26" i="1"/>
  <c r="AX26" i="1" s="1"/>
  <c r="AU30" i="1"/>
  <c r="AW30" i="1"/>
  <c r="AX30" i="1" s="1"/>
  <c r="AR36" i="1"/>
  <c r="AW36" i="1"/>
  <c r="AX36" i="1" s="1"/>
  <c r="AJ36" i="1"/>
  <c r="AW38" i="1"/>
  <c r="AX38" i="1" s="1"/>
  <c r="AW10" i="1"/>
  <c r="AX10" i="1" s="1"/>
  <c r="AJ10" i="1"/>
  <c r="AR10" i="1"/>
  <c r="AW25" i="1"/>
  <c r="AX25" i="1" s="1"/>
  <c r="AR25" i="1"/>
  <c r="AJ25" i="1"/>
  <c r="AW46" i="1"/>
  <c r="AX46" i="1" s="1"/>
  <c r="AJ46" i="1"/>
  <c r="AR46" i="1"/>
  <c r="AW48" i="1"/>
  <c r="AX48" i="1" s="1"/>
  <c r="AJ48" i="1"/>
  <c r="AR48" i="1"/>
  <c r="AW14" i="1"/>
  <c r="AX14" i="1" s="1"/>
  <c r="AR14" i="1"/>
  <c r="AJ14" i="1"/>
  <c r="AJ16" i="1"/>
  <c r="AW16" i="1"/>
  <c r="AX16" i="1" s="1"/>
  <c r="AW21" i="1"/>
  <c r="AX21" i="1" s="1"/>
  <c r="AJ21" i="1"/>
  <c r="AR21" i="1"/>
  <c r="AW28" i="1"/>
  <c r="AX28" i="1" s="1"/>
  <c r="AW31" i="1"/>
  <c r="AX31" i="1" s="1"/>
  <c r="AJ31" i="1"/>
  <c r="AR31" i="1"/>
  <c r="AW33" i="1"/>
  <c r="AX33" i="1" s="1"/>
  <c r="AJ33" i="1"/>
  <c r="AR33" i="1"/>
  <c r="AR39" i="1"/>
  <c r="AW39" i="1"/>
  <c r="AX39" i="1" s="1"/>
  <c r="AJ39" i="1"/>
  <c r="AW41" i="1"/>
  <c r="AX41" i="1" s="1"/>
  <c r="AJ41" i="1"/>
  <c r="AR41" i="1"/>
  <c r="AW44" i="1"/>
  <c r="AX44" i="1" s="1"/>
  <c r="AW51" i="1"/>
  <c r="AX51" i="1" s="1"/>
  <c r="AJ51" i="1"/>
  <c r="AR51" i="1"/>
  <c r="Q87" i="1"/>
  <c r="AM87" i="1"/>
  <c r="AY87" i="1"/>
  <c r="AY92" i="1" s="1"/>
  <c r="AD87" i="1"/>
  <c r="AO92" i="1"/>
  <c r="V92" i="1"/>
  <c r="AW13" i="1"/>
  <c r="AX13" i="1" s="1"/>
  <c r="AR15" i="1"/>
  <c r="AW19" i="1"/>
  <c r="AX19" i="1" s="1"/>
  <c r="AG92" i="1"/>
  <c r="AL92" i="1"/>
  <c r="AT20" i="1"/>
  <c r="AU20" i="1" s="1"/>
  <c r="AW22" i="1"/>
  <c r="AX22" i="1" s="1"/>
  <c r="AW23" i="1"/>
  <c r="AX23" i="1" s="1"/>
  <c r="AW29" i="1"/>
  <c r="AX29" i="1" s="1"/>
  <c r="AR32" i="1"/>
  <c r="AR35" i="1"/>
  <c r="AR40" i="1"/>
  <c r="AW42" i="1"/>
  <c r="AX42" i="1" s="1"/>
  <c r="AW43" i="1"/>
  <c r="AX43" i="1" s="1"/>
  <c r="W92" i="1"/>
  <c r="AR62" i="1"/>
  <c r="AW62" i="1"/>
  <c r="AX62" i="1" s="1"/>
  <c r="AJ62" i="1"/>
  <c r="AR63" i="1"/>
  <c r="AJ63" i="1"/>
  <c r="AR66" i="1"/>
  <c r="AW66" i="1"/>
  <c r="AX66" i="1" s="1"/>
  <c r="AJ66" i="1"/>
  <c r="AU73" i="1"/>
  <c r="AW73" i="1"/>
  <c r="AX73" i="1" s="1"/>
  <c r="AW75" i="1"/>
  <c r="AX75" i="1" s="1"/>
  <c r="AR75" i="1"/>
  <c r="AJ75" i="1"/>
  <c r="AW76" i="1"/>
  <c r="AX76" i="1" s="1"/>
  <c r="AJ76" i="1"/>
  <c r="AR76" i="1"/>
  <c r="AW83" i="1"/>
  <c r="AX83" i="1" s="1"/>
  <c r="AU83" i="1"/>
  <c r="AR6" i="1"/>
  <c r="AR9" i="1"/>
  <c r="D92" i="1"/>
  <c r="S92" i="1"/>
  <c r="AW15" i="1"/>
  <c r="AX15" i="1" s="1"/>
  <c r="AR26" i="1"/>
  <c r="AW32" i="1"/>
  <c r="AX32" i="1" s="1"/>
  <c r="AW35" i="1"/>
  <c r="AX35" i="1" s="1"/>
  <c r="AR37" i="1"/>
  <c r="AR38" i="1"/>
  <c r="AW40" i="1"/>
  <c r="AX40" i="1" s="1"/>
  <c r="AR44" i="1"/>
  <c r="AR47" i="1"/>
  <c r="AW47" i="1"/>
  <c r="AX47" i="1" s="1"/>
  <c r="AR50" i="1"/>
  <c r="AW50" i="1"/>
  <c r="AX50" i="1" s="1"/>
  <c r="R92" i="1"/>
  <c r="T92" i="1"/>
  <c r="AW74" i="1"/>
  <c r="AX74" i="1" s="1"/>
  <c r="AR74" i="1"/>
  <c r="AJ74" i="1"/>
  <c r="C92" i="1"/>
  <c r="AJ6" i="1"/>
  <c r="AR7" i="1"/>
  <c r="AR8" i="1"/>
  <c r="AJ9" i="1"/>
  <c r="E87" i="1"/>
  <c r="AI12" i="1"/>
  <c r="AQ92" i="1"/>
  <c r="AJ20" i="1"/>
  <c r="AR20" i="1"/>
  <c r="AJ26" i="1"/>
  <c r="AJ28" i="1"/>
  <c r="AR28" i="1"/>
  <c r="AJ37" i="1"/>
  <c r="P92" i="1"/>
  <c r="AJ38" i="1"/>
  <c r="AJ44" i="1"/>
  <c r="AJ53" i="1"/>
  <c r="AW53" i="1"/>
  <c r="AX53" i="1" s="1"/>
  <c r="AJ55" i="1"/>
  <c r="AW68" i="1"/>
  <c r="AX68" i="1" s="1"/>
  <c r="AU68" i="1"/>
  <c r="AU70" i="1"/>
  <c r="AW70" i="1"/>
  <c r="AX70" i="1" s="1"/>
  <c r="AW80" i="1"/>
  <c r="AX80" i="1" s="1"/>
  <c r="AR80" i="1"/>
  <c r="AJ80" i="1"/>
  <c r="AR86" i="1"/>
  <c r="AJ86" i="1"/>
  <c r="AW86" i="1"/>
  <c r="AX86" i="1" s="1"/>
  <c r="AK87" i="1"/>
  <c r="AT6" i="1"/>
  <c r="AJ7" i="1"/>
  <c r="AJ8" i="1"/>
  <c r="K87" i="1"/>
  <c r="AT9" i="1"/>
  <c r="AU9" i="1" s="1"/>
  <c r="AH87" i="1"/>
  <c r="I87" i="1"/>
  <c r="AR16" i="1"/>
  <c r="X92" i="1"/>
  <c r="AC92" i="1"/>
  <c r="AU50" i="1"/>
  <c r="AF92" i="1"/>
  <c r="AI52" i="1"/>
  <c r="AW69" i="1"/>
  <c r="AX69" i="1" s="1"/>
  <c r="AJ69" i="1"/>
  <c r="AR69" i="1"/>
  <c r="AR56" i="1"/>
  <c r="AW59" i="1"/>
  <c r="AR67" i="1"/>
  <c r="AR71" i="1"/>
  <c r="AR78" i="1"/>
  <c r="AR81" i="1"/>
  <c r="G92" i="1"/>
  <c r="N92" i="1"/>
  <c r="AJ56" i="1"/>
  <c r="AR57" i="1"/>
  <c r="AR58" i="1"/>
  <c r="AJ59" i="1"/>
  <c r="AJ64" i="1"/>
  <c r="AJ65" i="1"/>
  <c r="AR65" i="1"/>
  <c r="AJ67" i="1"/>
  <c r="AJ71" i="1"/>
  <c r="AJ78" i="1"/>
  <c r="AJ81" i="1"/>
  <c r="O92" i="1"/>
  <c r="AE92" i="1"/>
  <c r="AW61" i="1"/>
  <c r="AW64" i="1"/>
  <c r="AR72" i="1"/>
  <c r="AR77" i="1"/>
  <c r="AW82" i="1"/>
  <c r="AX82" i="1" s="1"/>
  <c r="AR84" i="1"/>
  <c r="AR85" i="1"/>
  <c r="AJ61" i="1"/>
  <c r="AJ70" i="1"/>
  <c r="AJ72" i="1"/>
  <c r="AJ77" i="1"/>
  <c r="AJ84" i="1"/>
  <c r="D6" i="2" l="1"/>
  <c r="D87" i="2" s="1"/>
  <c r="AI87" i="1"/>
  <c r="AL89" i="1" s="1"/>
  <c r="AR17" i="1"/>
  <c r="AW55" i="1"/>
  <c r="AJ17" i="1"/>
  <c r="AJ87" i="1" s="1"/>
  <c r="AJ89" i="1" s="1"/>
  <c r="AR82" i="1"/>
  <c r="AW65" i="1"/>
  <c r="AX65" i="1" s="1"/>
  <c r="AI92" i="1"/>
  <c r="V89" i="1"/>
  <c r="G89" i="1"/>
  <c r="S89" i="1"/>
  <c r="AB89" i="1"/>
  <c r="M89" i="1"/>
  <c r="AF89" i="1"/>
  <c r="AA89" i="1"/>
  <c r="AC89" i="1"/>
  <c r="U89" i="1"/>
  <c r="L89" i="1"/>
  <c r="F89" i="1"/>
  <c r="J89" i="1"/>
  <c r="AO89" i="1"/>
  <c r="AG89" i="1"/>
  <c r="N89" i="1"/>
  <c r="X89" i="1"/>
  <c r="Y89" i="1"/>
  <c r="AR52" i="1"/>
  <c r="AW52" i="1"/>
  <c r="AX52" i="1" s="1"/>
  <c r="AJ52" i="1"/>
  <c r="AT87" i="1"/>
  <c r="AU6" i="1"/>
  <c r="AU87" i="1" s="1"/>
  <c r="AU92" i="1" s="1"/>
  <c r="AM92" i="1"/>
  <c r="AM89" i="1"/>
  <c r="K92" i="1"/>
  <c r="K89" i="1"/>
  <c r="E92" i="1"/>
  <c r="E89" i="1"/>
  <c r="I92" i="1"/>
  <c r="I89" i="1"/>
  <c r="AD89" i="1"/>
  <c r="AD92" i="1"/>
  <c r="AW20" i="1"/>
  <c r="AX20" i="1" s="1"/>
  <c r="AW12" i="1"/>
  <c r="AX12" i="1" s="1"/>
  <c r="AJ12" i="1"/>
  <c r="AR12" i="1"/>
  <c r="AW6" i="1"/>
  <c r="Q92" i="1"/>
  <c r="Q89" i="1"/>
  <c r="AH89" i="1"/>
  <c r="AH92" i="1"/>
  <c r="AW9" i="1"/>
  <c r="AX9" i="1" s="1"/>
  <c r="D89" i="1" l="1"/>
  <c r="P89" i="1"/>
  <c r="O89" i="1"/>
  <c r="AE89" i="1"/>
  <c r="Z89" i="1"/>
  <c r="AI89" i="1"/>
  <c r="R89" i="1"/>
  <c r="AQ89" i="1"/>
  <c r="W89" i="1"/>
  <c r="AR87" i="1"/>
  <c r="C89" i="1"/>
  <c r="T89" i="1"/>
  <c r="AW87" i="1"/>
  <c r="AX6" i="1"/>
  <c r="AX87" i="1" s="1"/>
  <c r="AX92" i="1" s="1"/>
  <c r="AT92" i="1"/>
  <c r="AT89" i="1"/>
  <c r="AW92" i="1" l="1"/>
  <c r="AW89" i="1"/>
</calcChain>
</file>

<file path=xl/comments1.xml><?xml version="1.0" encoding="utf-8"?>
<comments xmlns="http://schemas.openxmlformats.org/spreadsheetml/2006/main">
  <authors>
    <author>Lindsay Durall</author>
  </authors>
  <commentList>
    <comment ref="C72" authorId="0">
      <text>
        <r>
          <rPr>
            <b/>
            <sz val="8"/>
            <color indexed="81"/>
            <rFont val="Tahoma"/>
            <family val="2"/>
          </rPr>
          <t>Lindsay Durall:</t>
        </r>
        <r>
          <rPr>
            <sz val="8"/>
            <color indexed="81"/>
            <rFont val="Tahoma"/>
            <family val="2"/>
          </rPr>
          <t xml:space="preserve">
added st paul family aid society income here-monthly collection</t>
        </r>
      </text>
    </comment>
  </commentList>
</comments>
</file>

<file path=xl/comments2.xml><?xml version="1.0" encoding="utf-8"?>
<comments xmlns="http://schemas.openxmlformats.org/spreadsheetml/2006/main">
  <authors>
    <author>Kim Haire</author>
    <author>Monsour, Matt</author>
    <author>Blanford, Jody</author>
  </authors>
  <commentList>
    <comment ref="E9" authorId="0">
      <text>
        <r>
          <rPr>
            <b/>
            <sz val="8"/>
            <color indexed="81"/>
            <rFont val="Tahoma"/>
            <family val="2"/>
          </rPr>
          <t>Kim Haire:</t>
        </r>
        <r>
          <rPr>
            <sz val="8"/>
            <color indexed="81"/>
            <rFont val="Tahoma"/>
            <family val="2"/>
          </rPr>
          <t xml:space="preserve">
Actually used for Bldg. Fund.</t>
        </r>
      </text>
    </comment>
    <comment ref="F9" authorId="0">
      <text>
        <r>
          <rPr>
            <b/>
            <sz val="8"/>
            <color indexed="81"/>
            <rFont val="Tahoma"/>
            <family val="2"/>
          </rPr>
          <t>Kim Haire:</t>
        </r>
        <r>
          <rPr>
            <sz val="8"/>
            <color indexed="81"/>
            <rFont val="Tahoma"/>
            <family val="2"/>
          </rPr>
          <t xml:space="preserve">
Bldg Fund.</t>
        </r>
      </text>
    </comment>
    <comment ref="K9" authorId="0">
      <text>
        <r>
          <rPr>
            <b/>
            <sz val="8"/>
            <color indexed="81"/>
            <rFont val="Tahoma"/>
            <family val="2"/>
          </rPr>
          <t>Lindsay Short:</t>
        </r>
        <r>
          <rPr>
            <sz val="8"/>
            <color indexed="81"/>
            <rFont val="Tahoma"/>
            <family val="2"/>
          </rPr>
          <t xml:space="preserve">
Bldg Fund collections.
Collection for St Marys Loan
Collection for Glenmary Loan</t>
        </r>
      </text>
    </comment>
    <comment ref="AD9" authorId="1">
      <text>
        <r>
          <rPr>
            <b/>
            <sz val="8"/>
            <color indexed="81"/>
            <rFont val="Tahoma"/>
            <family val="2"/>
          </rPr>
          <t>Lindsay Short:</t>
        </r>
        <r>
          <rPr>
            <sz val="8"/>
            <color indexed="81"/>
            <rFont val="Tahoma"/>
            <family val="2"/>
          </rPr>
          <t xml:space="preserve">
Donations from Parishioners
Votives
</t>
        </r>
      </text>
    </comment>
    <comment ref="E11" authorId="1">
      <text>
        <r>
          <rPr>
            <b/>
            <sz val="8"/>
            <color indexed="81"/>
            <rFont val="Tahoma"/>
            <family val="2"/>
          </rPr>
          <t>Lindsay Short:</t>
        </r>
        <r>
          <rPr>
            <sz val="8"/>
            <color indexed="81"/>
            <rFont val="Tahoma"/>
            <family val="2"/>
          </rPr>
          <t xml:space="preserve">
In-Kind Contribution</t>
        </r>
      </text>
    </comment>
    <comment ref="E20" authorId="0">
      <text>
        <r>
          <rPr>
            <b/>
            <sz val="8"/>
            <color indexed="81"/>
            <rFont val="Tahoma"/>
            <family val="2"/>
          </rPr>
          <t>Kim Haire:</t>
        </r>
        <r>
          <rPr>
            <sz val="8"/>
            <color indexed="81"/>
            <rFont val="Tahoma"/>
            <family val="2"/>
          </rPr>
          <t xml:space="preserve">
Education Fund .
</t>
        </r>
      </text>
    </comment>
    <comment ref="K20" authorId="1">
      <text>
        <r>
          <rPr>
            <b/>
            <sz val="8"/>
            <color indexed="81"/>
            <rFont val="Tahoma"/>
            <family val="2"/>
          </rPr>
          <t>Lindsay Short:
$3086 is donations/collections netted in exp acct 571461</t>
        </r>
        <r>
          <rPr>
            <sz val="8"/>
            <color indexed="81"/>
            <rFont val="Tahoma"/>
            <family val="2"/>
          </rPr>
          <t xml:space="preserve">
</t>
        </r>
      </text>
    </comment>
    <comment ref="AD32" authorId="0">
      <text>
        <r>
          <rPr>
            <b/>
            <sz val="8"/>
            <color indexed="81"/>
            <rFont val="Tahoma"/>
            <family val="2"/>
          </rPr>
          <t>Kim Haire:</t>
        </r>
        <r>
          <rPr>
            <sz val="8"/>
            <color indexed="81"/>
            <rFont val="Tahoma"/>
            <family val="2"/>
          </rPr>
          <t xml:space="preserve">
Scrip proceeds &amp;flower inc
</t>
        </r>
      </text>
    </comment>
    <comment ref="AG34" authorId="0">
      <text>
        <r>
          <rPr>
            <b/>
            <sz val="8"/>
            <color indexed="81"/>
            <rFont val="Tahoma"/>
            <family val="2"/>
          </rPr>
          <t>Kim Haire:</t>
        </r>
        <r>
          <rPr>
            <sz val="8"/>
            <color indexed="81"/>
            <rFont val="Tahoma"/>
            <family val="2"/>
          </rPr>
          <t xml:space="preserve">
Quilt raffle for bldg. fund.</t>
        </r>
      </text>
    </comment>
    <comment ref="AD39" authorId="1">
      <text>
        <r>
          <rPr>
            <b/>
            <sz val="8"/>
            <color indexed="81"/>
            <rFont val="Tahoma"/>
            <family val="2"/>
          </rPr>
          <t>Lindsay Short:
$7486.13 is from proceeds from the Cemetery CD</t>
        </r>
      </text>
    </comment>
    <comment ref="W41" authorId="0">
      <text>
        <r>
          <rPr>
            <b/>
            <sz val="8"/>
            <color indexed="81"/>
            <rFont val="Tahoma"/>
            <family val="2"/>
          </rPr>
          <t>Kim Haire:</t>
        </r>
        <r>
          <rPr>
            <sz val="8"/>
            <color indexed="81"/>
            <rFont val="Tahoma"/>
            <family val="2"/>
          </rPr>
          <t xml:space="preserve">
Insurance recovery… will be deducted.</t>
        </r>
      </text>
    </comment>
    <comment ref="W50" authorId="0">
      <text>
        <r>
          <rPr>
            <b/>
            <sz val="8"/>
            <color indexed="81"/>
            <rFont val="Tahoma"/>
            <family val="2"/>
          </rPr>
          <t>Kim Haire:</t>
        </r>
        <r>
          <rPr>
            <sz val="8"/>
            <color indexed="81"/>
            <rFont val="Tahoma"/>
            <family val="2"/>
          </rPr>
          <t xml:space="preserve">
New Vestments.</t>
        </r>
      </text>
    </comment>
    <comment ref="E51" authorId="0">
      <text>
        <r>
          <rPr>
            <b/>
            <sz val="8"/>
            <color indexed="81"/>
            <rFont val="Tahoma"/>
            <family val="2"/>
          </rPr>
          <t>Kim Haire:</t>
        </r>
        <r>
          <rPr>
            <sz val="8"/>
            <color indexed="81"/>
            <rFont val="Tahoma"/>
            <family val="2"/>
          </rPr>
          <t xml:space="preserve">
Includes $100K of parishioner desig.funds.</t>
        </r>
      </text>
    </comment>
    <comment ref="E55" authorId="0">
      <text>
        <r>
          <rPr>
            <b/>
            <sz val="8"/>
            <color indexed="81"/>
            <rFont val="Tahoma"/>
            <family val="2"/>
          </rPr>
          <t>Kim Haire:</t>
        </r>
        <r>
          <rPr>
            <sz val="8"/>
            <color indexed="81"/>
            <rFont val="Tahoma"/>
            <family val="2"/>
          </rPr>
          <t xml:space="preserve">
O'Riley Trust Income.</t>
        </r>
      </text>
    </comment>
    <comment ref="K62" authorId="2">
      <text>
        <r>
          <rPr>
            <b/>
            <sz val="8"/>
            <color indexed="81"/>
            <rFont val="Tahoma"/>
            <family val="2"/>
          </rPr>
          <t>Blanford, Jody:</t>
        </r>
        <r>
          <rPr>
            <sz val="8"/>
            <color indexed="81"/>
            <rFont val="Tahoma"/>
            <family val="2"/>
          </rPr>
          <t xml:space="preserve">
Includes $4,513.09 spc. Collection sent to diocese
</t>
        </r>
      </text>
    </comment>
    <comment ref="AB62" authorId="2">
      <text>
        <r>
          <rPr>
            <b/>
            <sz val="8"/>
            <color indexed="81"/>
            <rFont val="Tahoma"/>
            <family val="2"/>
          </rPr>
          <t>Blanford, Jody:</t>
        </r>
        <r>
          <rPr>
            <sz val="8"/>
            <color indexed="81"/>
            <rFont val="Tahoma"/>
            <family val="2"/>
          </rPr>
          <t xml:space="preserve">
Guatemalan Sr col $773,
</t>
        </r>
      </text>
    </comment>
    <comment ref="W65" authorId="2">
      <text>
        <r>
          <rPr>
            <b/>
            <sz val="8"/>
            <color indexed="81"/>
            <rFont val="Tahoma"/>
            <family val="2"/>
          </rPr>
          <t>Blanford, Jody:</t>
        </r>
        <r>
          <rPr>
            <sz val="8"/>
            <color indexed="81"/>
            <rFont val="Tahoma"/>
            <family val="2"/>
          </rPr>
          <t xml:space="preserve">
Grocery cards/rebates
</t>
        </r>
      </text>
    </comment>
    <comment ref="AG65" authorId="2">
      <text>
        <r>
          <rPr>
            <b/>
            <sz val="8"/>
            <color indexed="81"/>
            <rFont val="Tahoma"/>
            <family val="2"/>
          </rPr>
          <t>Blanford, Jody:</t>
        </r>
        <r>
          <rPr>
            <sz val="8"/>
            <color indexed="81"/>
            <rFont val="Tahoma"/>
            <family val="2"/>
          </rPr>
          <t xml:space="preserve">
Contributions-Caritable Gaming
</t>
        </r>
      </text>
    </comment>
    <comment ref="AH65" authorId="2">
      <text>
        <r>
          <rPr>
            <b/>
            <sz val="8"/>
            <color indexed="81"/>
            <rFont val="Tahoma"/>
            <family val="2"/>
          </rPr>
          <t>Blanford, Jody:</t>
        </r>
        <r>
          <rPr>
            <sz val="8"/>
            <color indexed="81"/>
            <rFont val="Tahoma"/>
            <family val="2"/>
          </rPr>
          <t xml:space="preserve">
OCS Parent fundraiser
</t>
        </r>
      </text>
    </comment>
    <comment ref="AD66" authorId="2">
      <text>
        <r>
          <rPr>
            <b/>
            <sz val="8"/>
            <color indexed="81"/>
            <rFont val="Tahoma"/>
            <family val="2"/>
          </rPr>
          <t>Blanford, Jody:</t>
        </r>
        <r>
          <rPr>
            <sz val="8"/>
            <color indexed="81"/>
            <rFont val="Tahoma"/>
            <family val="2"/>
          </rPr>
          <t xml:space="preserve">
Votive, Flower, memorials
</t>
        </r>
      </text>
    </comment>
    <comment ref="C67" authorId="1">
      <text>
        <r>
          <rPr>
            <b/>
            <sz val="8"/>
            <color indexed="81"/>
            <rFont val="Tahoma"/>
            <family val="2"/>
          </rPr>
          <t xml:space="preserve">Lindsay Short:
This is a reimbursement for priest salary.
</t>
        </r>
      </text>
    </comment>
    <comment ref="X74" authorId="0">
      <text>
        <r>
          <rPr>
            <b/>
            <sz val="8"/>
            <color indexed="81"/>
            <rFont val="Tahoma"/>
            <family val="2"/>
          </rPr>
          <t>Kim Haire:</t>
        </r>
        <r>
          <rPr>
            <sz val="8"/>
            <color indexed="81"/>
            <rFont val="Tahoma"/>
            <family val="2"/>
          </rPr>
          <t xml:space="preserve">
Remembrance Fund.</t>
        </r>
      </text>
    </comment>
  </commentList>
</comments>
</file>

<file path=xl/sharedStrings.xml><?xml version="1.0" encoding="utf-8"?>
<sst xmlns="http://schemas.openxmlformats.org/spreadsheetml/2006/main" count="1936" uniqueCount="495">
  <si>
    <t>2014-15 MASTER FILE for 2016-2017 Assessment</t>
  </si>
  <si>
    <t>Go to the Budget Directory to get formula and calculate</t>
  </si>
  <si>
    <t>Unadjusted</t>
  </si>
  <si>
    <t>Adjusted</t>
  </si>
  <si>
    <t>410-11</t>
  </si>
  <si>
    <t>421-00</t>
  </si>
  <si>
    <t>422-00</t>
  </si>
  <si>
    <t>423-00</t>
  </si>
  <si>
    <t>Diff. from</t>
  </si>
  <si>
    <t>425</t>
  </si>
  <si>
    <t>425-50</t>
  </si>
  <si>
    <t>426</t>
  </si>
  <si>
    <t>430</t>
  </si>
  <si>
    <t>442-444</t>
  </si>
  <si>
    <t>452</t>
  </si>
  <si>
    <t>458</t>
  </si>
  <si>
    <t>472</t>
  </si>
  <si>
    <t>474-00</t>
  </si>
  <si>
    <t>481-00</t>
  </si>
  <si>
    <t>483-00</t>
  </si>
  <si>
    <t>484-00</t>
  </si>
  <si>
    <t>485-00</t>
  </si>
  <si>
    <t>486-00</t>
  </si>
  <si>
    <t>487-8</t>
  </si>
  <si>
    <t>489-00</t>
  </si>
  <si>
    <t>489-50</t>
  </si>
  <si>
    <t>490-00</t>
  </si>
  <si>
    <t>491-00</t>
  </si>
  <si>
    <t>492-00</t>
  </si>
  <si>
    <t xml:space="preserve">14-15 Total </t>
  </si>
  <si>
    <t>Difference</t>
  </si>
  <si>
    <t xml:space="preserve">12-13 Total </t>
  </si>
  <si>
    <t>Deduction</t>
  </si>
  <si>
    <t>School Subs.</t>
  </si>
  <si>
    <t>2008-2009</t>
  </si>
  <si>
    <t>2014/15 NET</t>
  </si>
  <si>
    <t>10-11 NET</t>
  </si>
  <si>
    <t>Regular</t>
  </si>
  <si>
    <t>Adj</t>
  </si>
  <si>
    <t>2010-2011</t>
  </si>
  <si>
    <t>2009-2010</t>
  </si>
  <si>
    <t>2007-2008</t>
  </si>
  <si>
    <t>2006-2007</t>
  </si>
  <si>
    <t>2005-2006</t>
  </si>
  <si>
    <t>2004-2005</t>
  </si>
  <si>
    <t>2003-2004</t>
  </si>
  <si>
    <t>2002-2003</t>
  </si>
  <si>
    <t>2001-2002</t>
  </si>
  <si>
    <t>2000-2001</t>
  </si>
  <si>
    <t>1999-2000</t>
  </si>
  <si>
    <t>98-99</t>
  </si>
  <si>
    <t>97-98</t>
  </si>
  <si>
    <t>96-97</t>
  </si>
  <si>
    <t>PARISH</t>
  </si>
  <si>
    <t>CITY</t>
  </si>
  <si>
    <t>Grants</t>
  </si>
  <si>
    <t>Contributions</t>
  </si>
  <si>
    <t>Prior Yr.Reg</t>
  </si>
  <si>
    <t xml:space="preserve">Regular </t>
  </si>
  <si>
    <t>Youth</t>
  </si>
  <si>
    <t>Special</t>
  </si>
  <si>
    <t>St Vincent</t>
  </si>
  <si>
    <t xml:space="preserve">Capital </t>
  </si>
  <si>
    <t>Bequests</t>
  </si>
  <si>
    <t>Contributed</t>
  </si>
  <si>
    <t>Investment</t>
  </si>
  <si>
    <t>Other Interest</t>
  </si>
  <si>
    <t>Sale of Books/</t>
  </si>
  <si>
    <t>CCD</t>
  </si>
  <si>
    <t>Other Income</t>
  </si>
  <si>
    <t>Mass</t>
  </si>
  <si>
    <t>Building</t>
  </si>
  <si>
    <t>Building Funds</t>
  </si>
  <si>
    <t>Renovation</t>
  </si>
  <si>
    <t xml:space="preserve">Other Income </t>
  </si>
  <si>
    <t>Revenue</t>
  </si>
  <si>
    <t>2013-2014 &amp;</t>
  </si>
  <si>
    <t>Rel Educ</t>
  </si>
  <si>
    <t>REPORT</t>
  </si>
  <si>
    <t>Correction</t>
  </si>
  <si>
    <t>Monies Exempted</t>
  </si>
  <si>
    <t>Exemption</t>
  </si>
  <si>
    <t xml:space="preserve">School </t>
  </si>
  <si>
    <t xml:space="preserve">% of Total </t>
  </si>
  <si>
    <t>TOTAL</t>
  </si>
  <si>
    <t>2009-2010 &amp;</t>
  </si>
  <si>
    <t>ASSESSABLE</t>
  </si>
  <si>
    <t>10-11 &amp;</t>
  </si>
  <si>
    <t>Questions</t>
  </si>
  <si>
    <t>Difference in assessment calculation</t>
  </si>
  <si>
    <t>Assessment</t>
  </si>
  <si>
    <t>Subsidies</t>
  </si>
  <si>
    <t>Individuals</t>
  </si>
  <si>
    <t>Corporate</t>
  </si>
  <si>
    <t>Foundation</t>
  </si>
  <si>
    <t>Collections</t>
  </si>
  <si>
    <t>de Paul</t>
  </si>
  <si>
    <t>Campaign</t>
  </si>
  <si>
    <t>Services</t>
  </si>
  <si>
    <t>Income</t>
  </si>
  <si>
    <t>Supplies</t>
  </si>
  <si>
    <t>Fees</t>
  </si>
  <si>
    <t>Cemetery</t>
  </si>
  <si>
    <t>Stipends</t>
  </si>
  <si>
    <t>Rent</t>
  </si>
  <si>
    <t>Exemption Pol</t>
  </si>
  <si>
    <t>Grounds</t>
  </si>
  <si>
    <t>not exmpt</t>
  </si>
  <si>
    <t>Misc</t>
  </si>
  <si>
    <t>Oil and Farm</t>
  </si>
  <si>
    <t>Other</t>
  </si>
  <si>
    <t>Daycare</t>
  </si>
  <si>
    <t>Picnic</t>
  </si>
  <si>
    <t>Bingo/Gaming</t>
  </si>
  <si>
    <t>Fund Raisers</t>
  </si>
  <si>
    <t>Per Report</t>
  </si>
  <si>
    <t>2012-2013</t>
  </si>
  <si>
    <t>CORRECTIONS</t>
  </si>
  <si>
    <t>Reason</t>
  </si>
  <si>
    <t>Per ' 91 Policy</t>
  </si>
  <si>
    <t>DEDUCTIONS</t>
  </si>
  <si>
    <t>REVENUE</t>
  </si>
  <si>
    <t>Based on 08 09</t>
  </si>
  <si>
    <t>Based on 07 08</t>
  </si>
  <si>
    <t>Based on 06 07</t>
  </si>
  <si>
    <t>Based on 05 06</t>
  </si>
  <si>
    <t>Based on 04 05</t>
  </si>
  <si>
    <t>Based on 03 04</t>
  </si>
  <si>
    <t>Based on 02 03</t>
  </si>
  <si>
    <t>Based on 01 02</t>
  </si>
  <si>
    <t>Based on 00 01</t>
  </si>
  <si>
    <t>Based on 98 99</t>
  </si>
  <si>
    <t>Based on 96 97</t>
  </si>
  <si>
    <t>Based on 95 96</t>
  </si>
  <si>
    <t>Based on 94 95</t>
  </si>
  <si>
    <t>Blessed Mother</t>
  </si>
  <si>
    <t>Owensboro</t>
  </si>
  <si>
    <t>Bequest, subsidy to St. Michael, Sebree</t>
  </si>
  <si>
    <t>Owensboro *91</t>
  </si>
  <si>
    <t>Blessed Sacrament</t>
  </si>
  <si>
    <t>Fundr expenses</t>
  </si>
  <si>
    <t>Christ the King</t>
  </si>
  <si>
    <t>Madisonville</t>
  </si>
  <si>
    <t>Bequest, Bldg Rent 161x$25=$4,025</t>
  </si>
  <si>
    <t>Emailed Doug Berry on 12/18/15 for explanation of jump from 10% to 20% of salaries/benefits for religious education. Question about how much they are trying to take for school subsidy. Need to ask Ernie about this. Ernie spoke w/Doug 1/29/16 &amp; they reduced amts for School Subsidy</t>
  </si>
  <si>
    <t>Picnic revenue recorded as School Income and not included in total parish revenue so cannot take picnic fundr exp since it also is recorded as School expense.</t>
  </si>
  <si>
    <t>Scottsville</t>
  </si>
  <si>
    <t xml:space="preserve">Mass Stipends </t>
  </si>
  <si>
    <t>Kitchen proj not part of exemption request per Ernie, so no exemption.</t>
  </si>
  <si>
    <t>Holy Cross</t>
  </si>
  <si>
    <t>Providence</t>
  </si>
  <si>
    <t>Spec. coll., Mass stip</t>
  </si>
  <si>
    <t>Can only deduct the Dio. Spec. Collections that are reported in income in the current year. Increased deduction to income collected. Did not allow Sunday visitor and National Catholic Register subscriptions since they are not a direct cost of religious education</t>
  </si>
  <si>
    <t>Holy Guardian Angels</t>
  </si>
  <si>
    <t>Irvington</t>
  </si>
  <si>
    <t>Fundr exp, spec. coll., Mass stip, cem, SVDP, Cap Camp</t>
  </si>
  <si>
    <t>Removed remodel charges from religious education-not allowed per Ernie</t>
  </si>
  <si>
    <t>Holy Name</t>
  </si>
  <si>
    <t>Henderson</t>
  </si>
  <si>
    <t>Subsidy, grants, fundraising exp, cemetery</t>
  </si>
  <si>
    <t>What account is the subsidy to St Susan, Elkton in? Think it needs to be broken out</t>
  </si>
  <si>
    <t>There are several "negative" expenses - Added these back to revenue as directed.</t>
  </si>
  <si>
    <t>Henderson *92</t>
  </si>
  <si>
    <t>Holy Redeemer</t>
  </si>
  <si>
    <t>Beaver Dam</t>
  </si>
  <si>
    <t>Holy Spirit</t>
  </si>
  <si>
    <t>Bowling Green</t>
  </si>
  <si>
    <t>Mass Stipends, DRF Grant, Fr Timothy salary reimb, early learning center tuition</t>
  </si>
  <si>
    <t xml:space="preserve">Missing page 2 of the Profit &amp; Loss Statement-need to complete. What acct is the DRF grant embedded in? Emailed Leslie Pfingston 12/18/15. Received </t>
  </si>
  <si>
    <t>Did not allow certain Rel. Educ. Deductions and didn't allow ECHO Registration fee deduction. Excluded coke machine, rel articles, adult ministry fees, and youth ministry fees</t>
  </si>
  <si>
    <t>Holy Trinity</t>
  </si>
  <si>
    <t>Morgantown</t>
  </si>
  <si>
    <t>Immaculate</t>
  </si>
  <si>
    <t>Fundr exp, SVDP, Grocery bank</t>
  </si>
  <si>
    <t>Interest income was 12,968.85 on Quickbooks report making total revenue $1,263,703.11 instead of $1,260,932.52</t>
  </si>
  <si>
    <t>Immaculate Conception</t>
  </si>
  <si>
    <t>Earlington</t>
  </si>
  <si>
    <t>Spec. coll., Mass stip, cemetery</t>
  </si>
  <si>
    <t>Did not allow certain religious education deductions: our Sunday visitor, national catholic register, utilities, and security system charges</t>
  </si>
  <si>
    <t>Earlington*92</t>
  </si>
  <si>
    <t>Hawesville</t>
  </si>
  <si>
    <t>fundr exp</t>
  </si>
  <si>
    <t>Newman Center</t>
  </si>
  <si>
    <t>Murray</t>
  </si>
  <si>
    <t>Subsidy, DRF Grant</t>
  </si>
  <si>
    <t>The only form received was an Income Statement. They deducted reimbursements from income, I did not deduct this. Took Subsidy and DRF grant as exemption</t>
  </si>
  <si>
    <t>Our Lady of Lourdes</t>
  </si>
  <si>
    <t xml:space="preserve">Fundr exp, mass stip, Daycare </t>
  </si>
  <si>
    <t>Kim to call Kay and discuss changes we made</t>
  </si>
  <si>
    <t>Precious Blood</t>
  </si>
  <si>
    <t>Fundr exp</t>
  </si>
  <si>
    <t>Reduced religious education deduction by excluding unallowable charges. Added income that was netted in expense accts. Emailed Penny 2/2/16</t>
  </si>
  <si>
    <t>Resurrection</t>
  </si>
  <si>
    <t>Dawson Springs</t>
  </si>
  <si>
    <t>Spec. coll., Mass stip, social concerns</t>
  </si>
  <si>
    <t>Special collections to Diocese - increased deduction to income collected</t>
  </si>
  <si>
    <t>Rosary Chapel</t>
  </si>
  <si>
    <t>Paducah</t>
  </si>
  <si>
    <t>Added $91,046.95 of Misc Deposits to income. They only reported reg. collections. Changed fundraising exp to correct amt. They had last year's # again. Added income from sale of Rectory furniture &amp; appliances. Emailed LaToya about changes 2/3/16</t>
  </si>
  <si>
    <t>Sacred Heart</t>
  </si>
  <si>
    <t>Hickman</t>
  </si>
  <si>
    <t>Fundr exp, Mass stip</t>
  </si>
  <si>
    <t>Russellville</t>
  </si>
  <si>
    <t>Missing balance sheet. Emailed Vonnie Thomason 12/18/15  . Received 12/22/15</t>
  </si>
  <si>
    <t>Waverly</t>
  </si>
  <si>
    <t>SVDP, Insurance recovery</t>
  </si>
  <si>
    <t>Insurance Recovery exemption- Okay per Ernie. New Parish Hall due to snow collapsing old one</t>
  </si>
  <si>
    <t>Removed Note Withdrawal from exemption. Not allowed</t>
  </si>
  <si>
    <t>St. Agnes</t>
  </si>
  <si>
    <t>Uniontown</t>
  </si>
  <si>
    <t>Fundr exp, Mass stip, cemetery</t>
  </si>
  <si>
    <t>Removed donation for hardship deduction-not allowed</t>
  </si>
  <si>
    <t>Uniontown*92</t>
  </si>
  <si>
    <t>St. Alphonsus</t>
  </si>
  <si>
    <t>St Joseph / Owensboro</t>
  </si>
  <si>
    <t>Fundr exp, Mass stip, SVDP</t>
  </si>
  <si>
    <t>St Joseph</t>
  </si>
  <si>
    <t>St. Ambrose</t>
  </si>
  <si>
    <t>Henshaw</t>
  </si>
  <si>
    <t>Fundr exp, Spec. coll.</t>
  </si>
  <si>
    <t>St. Ann</t>
  </si>
  <si>
    <t>Morganfield</t>
  </si>
  <si>
    <t>Only have inc stmt and net assessable revenue paperwork. All others are missing. Received paperwork 1/4/16. Still missing balance sheet. Emailed Kay Owen 1/4/16. Received 1/4/16</t>
  </si>
  <si>
    <t>Added neg.exp.for Christmas/Easter back to income (netted?)</t>
  </si>
  <si>
    <t>Morganfield *92</t>
  </si>
  <si>
    <t>St. Anthony</t>
  </si>
  <si>
    <t>Axtel / Hardinsburg</t>
  </si>
  <si>
    <t>Fundr exp., Mass stip, cemetery, insurance recovery</t>
  </si>
  <si>
    <t>Missing a signature- see note in file</t>
  </si>
  <si>
    <t>Excluded utilities, telephone, &amp; insurance exp from religious education</t>
  </si>
  <si>
    <t>Axtel</t>
  </si>
  <si>
    <t>Browns Valley / Utica</t>
  </si>
  <si>
    <t xml:space="preserve"> </t>
  </si>
  <si>
    <t>Mass Stip</t>
  </si>
  <si>
    <t>Browns Valley*92</t>
  </si>
  <si>
    <t>Peonia / Clarkson</t>
  </si>
  <si>
    <t>Added income from Flower Expense account. Jim let them know.</t>
  </si>
  <si>
    <t>Peonia</t>
  </si>
  <si>
    <t>St. Anthony of Padua</t>
  </si>
  <si>
    <t>Grand Rivers</t>
  </si>
  <si>
    <t xml:space="preserve">Spec. Collections, Mass Stipends </t>
  </si>
  <si>
    <t>Broke out the revenue in income accounts. They net income and expense in these accounts</t>
  </si>
  <si>
    <t>St. Augustine</t>
  </si>
  <si>
    <t>Grayson Springs</t>
  </si>
  <si>
    <t>cemetery</t>
  </si>
  <si>
    <t>Did not allow Bldg Fund exemption because no Policy for Exemption on file per Kathy Rasp</t>
  </si>
  <si>
    <t>Grayson Springs*92</t>
  </si>
  <si>
    <t>Reed / Owensboro</t>
  </si>
  <si>
    <t>Fundraiser, Spec coll, Mass stip,ceme,SVDP</t>
  </si>
  <si>
    <t xml:space="preserve">Missing year end report checklist. </t>
  </si>
  <si>
    <t>Changed Special Collections amount to income collected, added fundraising income, changed fundraising exp per email from Rosemary.  Emailed Rosemary with changes to Net Assessable Revenue 1/26/16</t>
  </si>
  <si>
    <t>Reed</t>
  </si>
  <si>
    <t>St. Benedict</t>
  </si>
  <si>
    <t>Wax</t>
  </si>
  <si>
    <t>cemetery, insurance recovery</t>
  </si>
  <si>
    <t>St. Charles</t>
  </si>
  <si>
    <t>Bardwell</t>
  </si>
  <si>
    <t>Fundr Exp (2); Mass stip, cemetery</t>
  </si>
  <si>
    <t>Livermore</t>
  </si>
  <si>
    <t>Mass Stip, Cemetery</t>
  </si>
  <si>
    <t>Need to know what the CD from Cemetery Acct is? Old funds, or new? Think it should be excluded</t>
  </si>
  <si>
    <t>Excluded collection for Fr. John deduction-not allowed. Excluded Proceeds from Cemetery CD. Not allowed</t>
  </si>
  <si>
    <t>St. Columba</t>
  </si>
  <si>
    <t>Lewisport</t>
  </si>
  <si>
    <t>St. Denis</t>
  </si>
  <si>
    <t>Fancy Farm</t>
  </si>
  <si>
    <t>Fundr exp, Mass stip, Ceme,</t>
  </si>
  <si>
    <t>Why is the Christian Service Expense a negative? See file</t>
  </si>
  <si>
    <t>St. Edward</t>
  </si>
  <si>
    <t>Fulton</t>
  </si>
  <si>
    <t>Added Rel Edu Seminars/Retreats to Rel Edu Deduction. Added Income for Spiritual Awakening Collection. Emailed Jan 1/21/16</t>
  </si>
  <si>
    <t>St. Elizabeth</t>
  </si>
  <si>
    <t>Clarkson</t>
  </si>
  <si>
    <t>Clarkson *92</t>
  </si>
  <si>
    <t>Curdsville</t>
  </si>
  <si>
    <t>Per Ann Kauffeld-a separate acct. was used for the Bldg Fund and these funds have not been assessed. In 2014-15 I need to watch for this account and make sure the funds are included in total revenue. See email in 2013-14 parish folder.</t>
  </si>
  <si>
    <t xml:space="preserve">Chg'd. total revenue to match report; did not allow mass intentions expense only revenue allowed, did not allow mass stipends of $325 as this was a pmt for a visiting priest. Added income &amp; interest from bldg fund acct </t>
  </si>
  <si>
    <t>St. Francis Borgia</t>
  </si>
  <si>
    <t>Sturgis</t>
  </si>
  <si>
    <t>Fundr Exp., mass stipends, SVDP</t>
  </si>
  <si>
    <t xml:space="preserve"> didn't ded. Spec. coll.due to not being in income. Didn't ded. Other income. Changed religious education amt due to adding error</t>
  </si>
  <si>
    <t>St. Francis de Sales</t>
  </si>
  <si>
    <t>Mass stip, SVDP</t>
  </si>
  <si>
    <t>St. Henry</t>
  </si>
  <si>
    <t>Aurora</t>
  </si>
  <si>
    <t>Fundraising, Spec. coll., Mass stip, Ceme</t>
  </si>
  <si>
    <t>Did not allow FR expenses since all FR revenue was deducted. Can only deduct the Dio. Spec Collections that are reported in income in the current year. Decreased deduction to income collected. Increased mass stipends deduction to income collected. Added donation &amp; tickets sold from Fr Greg's Dinner expense account into income. Emailed Sally 2/1</t>
  </si>
  <si>
    <t>Auora</t>
  </si>
  <si>
    <t>St. Jerome</t>
  </si>
  <si>
    <t>Added cont. edu/rel edu exp to religious edu deduction</t>
  </si>
  <si>
    <t>St. Joe &amp; Paul</t>
  </si>
  <si>
    <t>Bequest</t>
  </si>
  <si>
    <t>St. John Baptist</t>
  </si>
  <si>
    <t>Fordsville</t>
  </si>
  <si>
    <t>Spec. coll, subsidy, Mass stip</t>
  </si>
  <si>
    <t>Missing all papers. Income statement sent is for April 1st thru June 30th. Received other papers. Still need balance sheet for year as of 1/5/16</t>
  </si>
  <si>
    <t>Total Revenue included beginning cash amount so I chg'd to actual revenue; chg'd Dio. Coll amt. to match Financial Report.  Can't deduct charity. Added subsidy and mass stipend exemptions</t>
  </si>
  <si>
    <t>St. John Evangelist</t>
  </si>
  <si>
    <t>Fundr exp, Cemetery</t>
  </si>
  <si>
    <t>Didn't deduct $100K bequest due to actually being an indiv. Contr</t>
  </si>
  <si>
    <t>Sunfish</t>
  </si>
  <si>
    <t>Spec. coll</t>
  </si>
  <si>
    <t>Only deduct amt of spec. collections reported in revenue; can't deduct charity to KCs. Exclude grants received deduction- not in revenue</t>
  </si>
  <si>
    <t>St. Joseph</t>
  </si>
  <si>
    <t>Marian Shrine exp</t>
  </si>
  <si>
    <t>Did not deduct fundraising exp since income was not in revenue</t>
  </si>
  <si>
    <t>Bowling Green *92</t>
  </si>
  <si>
    <t>Central City</t>
  </si>
  <si>
    <t>Mass stip</t>
  </si>
  <si>
    <t>Removed CCD Center Insurance, utility bill charges, &amp; Pride Johnson charge for repair work from Religious Education expense</t>
  </si>
  <si>
    <t>Leitchfield</t>
  </si>
  <si>
    <t>St. John Sunfish subsidy, Mass Stip, Cemetery</t>
  </si>
  <si>
    <t>Leitchfield *91</t>
  </si>
  <si>
    <t>Mayfield</t>
  </si>
  <si>
    <t>Subsidy, Mass Stip</t>
  </si>
  <si>
    <t xml:space="preserve">Missing financial statements. Emailed Christie Scarbrough 12/22/15. Received.  Need clarification on deductions they are trying to take. Received. </t>
  </si>
  <si>
    <t>Reduced Rel.Ed deduction by amt.of utilities and custodian/custodial supplies. Added Collections recorded in exp acct 571501 to income.  Emailed Christie 1/21/16</t>
  </si>
  <si>
    <t>St. Jude</t>
  </si>
  <si>
    <t>Clinton</t>
  </si>
  <si>
    <t>St. Lawrence</t>
  </si>
  <si>
    <t>St Lawrence / Philpot</t>
  </si>
  <si>
    <t>St Lawrence *93</t>
  </si>
  <si>
    <t>St. Leo</t>
  </si>
  <si>
    <t>bequest, mass stip</t>
  </si>
  <si>
    <t>Bequest income is embedded in Regular Collections $23,350</t>
  </si>
  <si>
    <t xml:space="preserve"> I reduced the Rel. Ed deduction by amt.of util.,prop/liab ins &amp; added Vacation Bible School Expense to rel ed deduction;  No FR ded allowed bc FR REV is net; </t>
  </si>
  <si>
    <t>St. Mark</t>
  </si>
  <si>
    <t>Eddyville</t>
  </si>
  <si>
    <t>spec coll, mass stip</t>
  </si>
  <si>
    <t>Added $100 donation to income. Emailed Mary 1/21/16</t>
  </si>
  <si>
    <t>Eddyville *91</t>
  </si>
  <si>
    <t>St. Martin</t>
  </si>
  <si>
    <t>Rome / Owensboro</t>
  </si>
  <si>
    <t>Funraising exp, mass stip</t>
  </si>
  <si>
    <t>Added Rel Edu Seminars/Retreats to Rel Edu Deduction</t>
  </si>
  <si>
    <t>Rome *93</t>
  </si>
  <si>
    <t>St. Mary</t>
  </si>
  <si>
    <t>Franklin</t>
  </si>
  <si>
    <t>sp col, ms stip,cemetery int.,  Cem rev.</t>
  </si>
  <si>
    <t>Missing Calculation of net assessable revenue sheet &amp; Income statement. Received 2/18/16</t>
  </si>
  <si>
    <t>Recorded $5K in cemetery rev but did not deduct; we allowed deduction. Changed special collections to revenue collected. Added cemetery interest deduction. Added all interest accounts &amp; ongoing projects income to total revenue.  Emailed Erin 2/18/16</t>
  </si>
  <si>
    <t>Franklin *92</t>
  </si>
  <si>
    <t>LaCenter</t>
  </si>
  <si>
    <t>Mass stip, ceme, cap camp</t>
  </si>
  <si>
    <t>No ded for School Subsidy Revenue. Added VBS Exp to Rel Edu Deduction</t>
  </si>
  <si>
    <t>St. Mary &amp; St. James</t>
  </si>
  <si>
    <t>Guthrie</t>
  </si>
  <si>
    <t xml:space="preserve"> Ministry of Charity (2nd Hand Rose Store, like SVDP)</t>
  </si>
  <si>
    <t>Need more information on special collections deduction and a breakout of account 571741</t>
  </si>
  <si>
    <t>Did not deduct Mass stipends to parochial vicar and visiting clergy,  items not in revenue. Allow 2nd Hand Rose Store exemption due to being like SVDP</t>
  </si>
  <si>
    <t>St. Mary Magdalene</t>
  </si>
  <si>
    <t>Sorgho</t>
  </si>
  <si>
    <t>Fundraiser exp (picnic &amp; OCS fundraiser),Stipend Inc.added, grant, grocery certificates</t>
  </si>
  <si>
    <t>Added VBS Exp to Rel Edu Deduction</t>
  </si>
  <si>
    <t>St. Mary of Woods</t>
  </si>
  <si>
    <t>McQuady / Hardinsburg</t>
  </si>
  <si>
    <t>fundr,  mass stip,cemet</t>
  </si>
  <si>
    <t>Reduced Rel.Ed deduction by amt.of utilities and Property/Liability Ins</t>
  </si>
  <si>
    <t>McQuady</t>
  </si>
  <si>
    <t>Whitesville</t>
  </si>
  <si>
    <t>Fundraiser, priest reimbursement</t>
  </si>
  <si>
    <t>Chg'd.total revenue to be parish only since School Income is netted against sch.subsidy (same as last year). Added Collections income from exp account 571771. Emailed Lane 1/21/16</t>
  </si>
  <si>
    <t>Whitesville *92</t>
  </si>
  <si>
    <t>St. Michael</t>
  </si>
  <si>
    <t>Sebree</t>
  </si>
  <si>
    <t>Fundr, subsidy from Blessed Mother, mass stipend</t>
  </si>
  <si>
    <t>Sebree *91</t>
  </si>
  <si>
    <t>St. Michael the Archangel</t>
  </si>
  <si>
    <t>Oak Grove</t>
  </si>
  <si>
    <t xml:space="preserve"> fundraising, Spec coll, mass stipend, SVDP</t>
  </si>
  <si>
    <t>Need to ask where the exempted revenue # of $134,813.99 came from.  Answer may change Other Income Exemption Policy revenue as well. Also, what charges are in acct 606144 Youth Expenses. Not sure if this can be taken as a religious education deduction. Emailed Thom Armbruster 12/22/15. Received 1/12/16</t>
  </si>
  <si>
    <t>St. Paul</t>
  </si>
  <si>
    <t>Princeton</t>
  </si>
  <si>
    <t>Subsidy; Mass stip</t>
  </si>
  <si>
    <t>St. Peter</t>
  </si>
  <si>
    <t>Stanley</t>
  </si>
  <si>
    <t>Fundr exp, spec.coll,bequest, subsidies, Mass stip, ceme</t>
  </si>
  <si>
    <t>Missing Balance Sheet. Emailed Lee Ann Schrecker 12/22/15. Received 12/29/15</t>
  </si>
  <si>
    <t>SVDP</t>
  </si>
  <si>
    <t>St. Peter &amp; Paul</t>
  </si>
  <si>
    <t>Hopkinsville</t>
  </si>
  <si>
    <t>Ins Recovery, Hisp Min. Grant, interest inc exempt</t>
  </si>
  <si>
    <t>School Subsidies are calculated as School Inc-School Exp+Non School Exp they provide. The MS Fund is a BF so its revenue is exempt and it's expenses are not deducted.
Reduced Rel.Ed exp.by amt.of prop/liab ins.,utilitities,
and janitor supplies. Took out MS Expenses and All Saints Endowment Income-not allowed for School Subsidy. Reduced School Subsidy exemption by middle school expense since they are excludiing middle school income. All saints endowment income is not excludable, minibus income reduced by $5000. Can only take how much minibus cost.</t>
  </si>
  <si>
    <t>Hopkinsville *92</t>
  </si>
  <si>
    <t>St. Pius Tenth</t>
  </si>
  <si>
    <t>Calvert City</t>
  </si>
  <si>
    <t>Did not allow youth group revenue deduction. Added Youth retreats  &amp; CRE retreats to rel ed deduction</t>
  </si>
  <si>
    <t>Fundr exp, Bequest, daycare</t>
  </si>
  <si>
    <t>Owensboro *92</t>
  </si>
  <si>
    <t>St. Romuald</t>
  </si>
  <si>
    <t>Hardinsburg</t>
  </si>
  <si>
    <t>Fundr exp, spec coll, ceme, SVDP</t>
  </si>
  <si>
    <t>St. Rose</t>
  </si>
  <si>
    <t>Cloverport</t>
  </si>
  <si>
    <t>Fundr exp, spec coll, SVDP</t>
  </si>
  <si>
    <t>Cloverport *92</t>
  </si>
  <si>
    <t>St. Sebastian</t>
  </si>
  <si>
    <t>Calhoun</t>
  </si>
  <si>
    <t>Mass stip, Ceme</t>
  </si>
  <si>
    <t>Fundr rev was incl in Pol. For Exemption revenue which was fully exempt, so the fundr exp can't also be deducted.</t>
  </si>
  <si>
    <t>St. Stephen</t>
  </si>
  <si>
    <t>Cadiz</t>
  </si>
  <si>
    <t>Spec. Collections</t>
  </si>
  <si>
    <t>Need breakout of religious education in order to take full amount, need to ask about special collections sent to diocese, where is the income reported? Income is in regular collections. Emailed Gerry K. on 12/22/15 about religious edu exp</t>
  </si>
  <si>
    <t>Changed income to match inc stmt. Reduced Religious Edu deduction  (excluded tv &amp; mount, adult books, &amp; youth 2000 donation)</t>
  </si>
  <si>
    <t>Cadiz *93</t>
  </si>
  <si>
    <t>St. Stephen Cathedral</t>
  </si>
  <si>
    <t>Fundr exp, grant</t>
  </si>
  <si>
    <t>Need breakout for religious education expense. Emailed Joey 12/22/15. Received 1/7/16                                                                                2014 Comment: Any subsidy amt. for Bl. Sac? Very small-will not deduct per Joey. What are the various "Other Revenues"?  Catch-all per Joey. Why so large? Some extraordinary items in the FY. I asked for break-out in the future if large and recommended he start using other acct. #s.</t>
  </si>
  <si>
    <t>Changed Rel Education deduction to match breakdown</t>
  </si>
  <si>
    <t>St. Susan</t>
  </si>
  <si>
    <t>Elkton</t>
  </si>
  <si>
    <t>Changed income to match inc stmt. Didn't deduct Spec Coll or Mass Stipends - not in income</t>
  </si>
  <si>
    <t>St. Thomas Aquinas</t>
  </si>
  <si>
    <t>Missing balance sheet. Okay per Kim</t>
  </si>
  <si>
    <t>Took reimbursements and refunds out of income.</t>
  </si>
  <si>
    <t>St. Thomas More</t>
  </si>
  <si>
    <t>subsidy</t>
  </si>
  <si>
    <t>Added revenue from exp accts 571382 &amp; 571383.</t>
  </si>
  <si>
    <t>Paducah *92</t>
  </si>
  <si>
    <t>St. William</t>
  </si>
  <si>
    <t>Knottsville / Philpot</t>
  </si>
  <si>
    <t>Missing balance sheet. Emailed Connie Lemmon's 12/22/15. Rec'd 12/29/15</t>
  </si>
  <si>
    <t>Knottsville *92</t>
  </si>
  <si>
    <t>Marion</t>
  </si>
  <si>
    <t>Spec Coll, Fundraising exp, mass stip, cemetery</t>
  </si>
  <si>
    <t xml:space="preserve">Changed total revenue after fixing netted income accounts. </t>
  </si>
  <si>
    <t>Marion*93</t>
  </si>
  <si>
    <t>TOTALS</t>
  </si>
  <si>
    <t>% of Total Revenue</t>
  </si>
  <si>
    <t>15.41%</t>
  </si>
  <si>
    <t>15.70%</t>
  </si>
  <si>
    <t>Prior year totals</t>
  </si>
  <si>
    <t>Difference - more/(less)
than prior year</t>
  </si>
  <si>
    <t>2014-15</t>
  </si>
  <si>
    <t>2014-16</t>
  </si>
  <si>
    <t>2014-17</t>
  </si>
  <si>
    <t>2014-18</t>
  </si>
  <si>
    <t>2014-19</t>
  </si>
  <si>
    <t>2014-20</t>
  </si>
  <si>
    <t>2014-21</t>
  </si>
  <si>
    <t>2014-22</t>
  </si>
  <si>
    <t>2014-23</t>
  </si>
  <si>
    <t>2014-24</t>
  </si>
  <si>
    <t>2014-25</t>
  </si>
  <si>
    <t>2014-26</t>
  </si>
  <si>
    <t>2014-27</t>
  </si>
  <si>
    <t>2014-28</t>
  </si>
  <si>
    <t>2014-29</t>
  </si>
  <si>
    <t>2014-30</t>
  </si>
  <si>
    <t>2014-31</t>
  </si>
  <si>
    <t>2014-32</t>
  </si>
  <si>
    <t>2014-33</t>
  </si>
  <si>
    <t>2014-34</t>
  </si>
  <si>
    <t>2014-35</t>
  </si>
  <si>
    <t>2014-36</t>
  </si>
  <si>
    <t>2014-37</t>
  </si>
  <si>
    <t>2014-38</t>
  </si>
  <si>
    <t>2014-39</t>
  </si>
  <si>
    <t>2013-14</t>
  </si>
  <si>
    <t>2012-13</t>
  </si>
  <si>
    <t>427</t>
  </si>
  <si>
    <t>428</t>
  </si>
  <si>
    <t>429</t>
  </si>
  <si>
    <t>431</t>
  </si>
  <si>
    <t>432</t>
  </si>
  <si>
    <t>433</t>
  </si>
  <si>
    <t>434</t>
  </si>
  <si>
    <t>435</t>
  </si>
  <si>
    <t>436</t>
  </si>
  <si>
    <t>437</t>
  </si>
  <si>
    <t>438</t>
  </si>
  <si>
    <t>439</t>
  </si>
  <si>
    <t>440</t>
  </si>
  <si>
    <t>441</t>
  </si>
  <si>
    <t>442</t>
  </si>
  <si>
    <t>443</t>
  </si>
  <si>
    <t>444</t>
  </si>
  <si>
    <t>445</t>
  </si>
  <si>
    <t>446</t>
  </si>
  <si>
    <t>447</t>
  </si>
  <si>
    <t>448</t>
  </si>
  <si>
    <t>449</t>
  </si>
  <si>
    <t xml:space="preserve">3-Year </t>
  </si>
  <si>
    <t>Average</t>
  </si>
  <si>
    <t>Parish Regular Collections Report 
2012-13 thru 2014-15</t>
  </si>
  <si>
    <t>Paish Goal</t>
  </si>
  <si>
    <t>2015-16</t>
  </si>
  <si>
    <t>Parish Regular Collections Report 
2013-14 thru 2015-16</t>
  </si>
  <si>
    <t>St. Francis of Assisi</t>
  </si>
  <si>
    <t>% of</t>
  </si>
  <si>
    <t>2016-17</t>
  </si>
  <si>
    <t>Parish Regular Collections Report 
2014-15 thru 2016-17</t>
  </si>
  <si>
    <t>2018-19</t>
  </si>
  <si>
    <t>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</si>
</sst>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00\ ;\(&quot;$&quot;#,##0.00\)"/>
    <numFmt numFmtId="165" formatCode="&quot;$&quot;#,##0\ ;\(&quot;$&quot;#,##0\)"/>
  </numFmts>
  <fonts count="1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8"/>
      <name val="Arial"/>
      <family val="2"/>
    </font>
    <font>
      <sz val="8"/>
      <name val="Arial"/>
      <family val="2"/>
    </font>
    <font>
      <b/>
      <sz val="8"/>
      <name val="Arial"/>
      <family val="2"/>
    </font>
    <font>
      <i/>
      <sz val="8"/>
      <name val="Arial"/>
      <family val="2"/>
    </font>
    <font>
      <b/>
      <i/>
      <sz val="8"/>
      <name val="NewCenturySchlbk"/>
    </font>
    <font>
      <b/>
      <sz val="8"/>
      <name val="NewCenturySchlbk"/>
    </font>
    <font>
      <b/>
      <sz val="8"/>
      <color indexed="81"/>
      <name val="Tahoma"/>
      <family val="2"/>
    </font>
    <font>
      <sz val="8"/>
      <color indexed="81"/>
      <name val="Tahoma"/>
      <family val="2"/>
    </font>
    <font>
      <sz val="10"/>
      <name val="Arial"/>
      <family val="2"/>
    </font>
    <font>
      <b/>
      <sz val="18"/>
      <name val="Arial"/>
      <family val="2"/>
    </font>
    <font>
      <b/>
      <sz val="12"/>
      <name val="Arial"/>
      <family val="2"/>
    </font>
    <font>
      <sz val="10"/>
      <name val="Arial"/>
      <family val="2"/>
    </font>
    <font>
      <b/>
      <i/>
      <sz val="10"/>
      <name val="Arial"/>
      <family val="2"/>
    </font>
  </fonts>
  <fills count="11">
    <fill>
      <patternFill patternType="none"/>
    </fill>
    <fill>
      <patternFill patternType="gray125"/>
    </fill>
    <fill>
      <patternFill patternType="solid">
        <fgColor theme="0"/>
        <bgColor indexed="64"/>
      </patternFill>
    </fill>
    <fill>
      <patternFill patternType="gray0625">
        <fgColor indexed="23"/>
        <bgColor theme="0"/>
      </patternFill>
    </fill>
    <fill>
      <patternFill patternType="lightDown">
        <fgColor indexed="22"/>
        <bgColor theme="0"/>
      </patternFill>
    </fill>
    <fill>
      <patternFill patternType="solid">
        <fgColor rgb="FFFFFF00"/>
        <bgColor indexed="64"/>
      </patternFill>
    </fill>
    <fill>
      <patternFill patternType="solid">
        <fgColor theme="0"/>
        <bgColor indexed="22"/>
      </patternFill>
    </fill>
    <fill>
      <patternFill patternType="darkTrellis">
        <fgColor indexed="22"/>
        <bgColor theme="0"/>
      </patternFill>
    </fill>
    <fill>
      <patternFill patternType="solid">
        <fgColor theme="8" tint="0.59999389629810485"/>
        <bgColor indexed="64"/>
      </patternFill>
    </fill>
    <fill>
      <patternFill patternType="solid">
        <fgColor theme="6" tint="0.59999389629810485"/>
        <bgColor indexed="64"/>
      </patternFill>
    </fill>
    <fill>
      <patternFill patternType="solid">
        <fgColor theme="4" tint="0.79998168889431442"/>
        <bgColor indexed="64"/>
      </patternFill>
    </fill>
  </fills>
  <borders count="25">
    <border>
      <left/>
      <right/>
      <top/>
      <bottom/>
      <diagonal/>
    </border>
    <border>
      <left style="double">
        <color indexed="64"/>
      </left>
      <right/>
      <top/>
      <bottom/>
      <diagonal/>
    </border>
    <border>
      <left/>
      <right/>
      <top style="thick">
        <color indexed="64"/>
      </top>
      <bottom/>
      <diagonal/>
    </border>
    <border>
      <left style="thick">
        <color indexed="64"/>
      </left>
      <right/>
      <top/>
      <bottom/>
      <diagonal/>
    </border>
    <border>
      <left style="double">
        <color indexed="64"/>
      </left>
      <right/>
      <top/>
      <bottom style="thick">
        <color indexed="64"/>
      </bottom>
      <diagonal/>
    </border>
    <border>
      <left/>
      <right/>
      <top/>
      <bottom style="thick">
        <color indexed="64"/>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36">
    <xf numFmtId="0" fontId="0" fillId="0" borderId="0"/>
    <xf numFmtId="3" fontId="13" fillId="0" borderId="0" applyFont="0" applyFill="0" applyBorder="0" applyAlignment="0" applyProtection="0"/>
    <xf numFmtId="3" fontId="13" fillId="0" borderId="0" applyFont="0" applyFill="0" applyBorder="0" applyAlignment="0" applyProtection="0"/>
    <xf numFmtId="44" fontId="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3" fillId="0" borderId="0"/>
    <xf numFmtId="0" fontId="13" fillId="0" borderId="0"/>
    <xf numFmtId="0" fontId="4" fillId="0" borderId="0"/>
    <xf numFmtId="0" fontId="13" fillId="0" borderId="17" applyNumberFormat="0" applyFont="0" applyFill="0" applyAlignment="0" applyProtection="0"/>
    <xf numFmtId="43" fontId="16" fillId="0" borderId="0" applyFont="0" applyFill="0" applyBorder="0" applyAlignment="0" applyProtection="0"/>
    <xf numFmtId="9" fontId="16" fillId="0" borderId="0" applyFont="0" applyFill="0" applyBorder="0" applyAlignment="0" applyProtection="0"/>
    <xf numFmtId="43" fontId="13" fillId="0" borderId="0" applyFont="0" applyFill="0" applyBorder="0" applyAlignment="0" applyProtection="0"/>
    <xf numFmtId="3" fontId="13" fillId="0" borderId="0" applyFont="0" applyFill="0" applyBorder="0" applyAlignment="0" applyProtection="0"/>
    <xf numFmtId="44" fontId="3" fillId="0" borderId="0" applyFont="0" applyFill="0" applyBorder="0" applyAlignment="0" applyProtection="0"/>
    <xf numFmtId="165" fontId="13"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3" fillId="0" borderId="0"/>
    <xf numFmtId="0" fontId="3" fillId="0" borderId="0"/>
    <xf numFmtId="0" fontId="13" fillId="0" borderId="17" applyNumberFormat="0" applyFont="0" applyFill="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xf numFmtId="0" fontId="1" fillId="0" borderId="0"/>
    <xf numFmtId="9" fontId="13" fillId="0" borderId="0" applyFont="0" applyFill="0" applyBorder="0" applyAlignment="0" applyProtection="0"/>
    <xf numFmtId="44" fontId="1" fillId="0" borderId="0" applyFont="0" applyFill="0" applyBorder="0" applyAlignment="0" applyProtection="0"/>
    <xf numFmtId="0" fontId="1" fillId="0" borderId="0"/>
  </cellStyleXfs>
  <cellXfs count="132">
    <xf numFmtId="0" fontId="0" fillId="0" borderId="0" xfId="0"/>
    <xf numFmtId="0" fontId="5" fillId="2" borderId="0" xfId="0" applyFont="1" applyFill="1"/>
    <xf numFmtId="0" fontId="6" fillId="2" borderId="0" xfId="0" applyFont="1" applyFill="1"/>
    <xf numFmtId="4" fontId="6" fillId="2" borderId="0" xfId="0" applyNumberFormat="1" applyFont="1" applyFill="1"/>
    <xf numFmtId="0" fontId="7" fillId="2" borderId="0" xfId="0" applyFont="1" applyFill="1"/>
    <xf numFmtId="3" fontId="8" fillId="2" borderId="0" xfId="0" applyNumberFormat="1" applyFont="1" applyFill="1"/>
    <xf numFmtId="10" fontId="6" fillId="2" borderId="0" xfId="0" applyNumberFormat="1" applyFont="1" applyFill="1"/>
    <xf numFmtId="0" fontId="8" fillId="2" borderId="0" xfId="0" applyFont="1" applyFill="1"/>
    <xf numFmtId="3" fontId="6" fillId="2" borderId="0" xfId="0" applyNumberFormat="1" applyFont="1" applyFill="1"/>
    <xf numFmtId="0" fontId="7" fillId="2" borderId="0" xfId="0" applyFont="1" applyFill="1" applyAlignment="1">
      <alignment horizontal="center"/>
    </xf>
    <xf numFmtId="3" fontId="7" fillId="2" borderId="0" xfId="0" applyNumberFormat="1" applyFont="1" applyFill="1" applyAlignment="1">
      <alignment horizontal="center"/>
    </xf>
    <xf numFmtId="3" fontId="6" fillId="2" borderId="0" xfId="0" applyNumberFormat="1" applyFont="1" applyFill="1" applyAlignment="1">
      <alignment horizontal="center"/>
    </xf>
    <xf numFmtId="0" fontId="5" fillId="2" borderId="0" xfId="0" applyFont="1" applyFill="1" applyAlignment="1">
      <alignment horizontal="center"/>
    </xf>
    <xf numFmtId="0" fontId="7" fillId="2" borderId="1" xfId="0" applyFont="1" applyFill="1" applyBorder="1" applyAlignment="1">
      <alignment horizontal="center"/>
    </xf>
    <xf numFmtId="4" fontId="7" fillId="2" borderId="0" xfId="0" applyNumberFormat="1" applyFont="1" applyFill="1" applyAlignment="1">
      <alignment horizontal="center"/>
    </xf>
    <xf numFmtId="0" fontId="7" fillId="3" borderId="0" xfId="0" applyFont="1" applyFill="1" applyAlignment="1">
      <alignment horizontal="center"/>
    </xf>
    <xf numFmtId="164" fontId="7" fillId="2" borderId="0" xfId="0" applyNumberFormat="1" applyFont="1" applyFill="1" applyAlignment="1">
      <alignment horizontal="center"/>
    </xf>
    <xf numFmtId="0" fontId="7" fillId="2" borderId="2" xfId="0" applyFont="1" applyFill="1" applyBorder="1" applyAlignment="1">
      <alignment horizontal="center"/>
    </xf>
    <xf numFmtId="3" fontId="5" fillId="2" borderId="2" xfId="0" applyNumberFormat="1" applyFont="1" applyFill="1" applyBorder="1" applyAlignment="1">
      <alignment horizontal="center"/>
    </xf>
    <xf numFmtId="0" fontId="7" fillId="3" borderId="2" xfId="0" applyFont="1" applyFill="1" applyBorder="1" applyAlignment="1">
      <alignment horizontal="center"/>
    </xf>
    <xf numFmtId="0" fontId="9" fillId="2" borderId="2" xfId="0" applyFont="1" applyFill="1" applyBorder="1" applyAlignment="1">
      <alignment horizontal="center"/>
    </xf>
    <xf numFmtId="0" fontId="10" fillId="2" borderId="2" xfId="0" applyFont="1" applyFill="1" applyBorder="1" applyAlignment="1">
      <alignment horizontal="center"/>
    </xf>
    <xf numFmtId="10" fontId="9" fillId="2" borderId="2" xfId="0" applyNumberFormat="1" applyFont="1" applyFill="1" applyBorder="1" applyAlignment="1">
      <alignment horizontal="center"/>
    </xf>
    <xf numFmtId="16" fontId="9" fillId="3" borderId="2" xfId="0" applyNumberFormat="1" applyFont="1" applyFill="1" applyBorder="1" applyAlignment="1">
      <alignment horizontal="center"/>
    </xf>
    <xf numFmtId="14" fontId="7" fillId="2" borderId="2" xfId="0" applyNumberFormat="1" applyFont="1" applyFill="1" applyBorder="1" applyAlignment="1">
      <alignment horizontal="center"/>
    </xf>
    <xf numFmtId="14" fontId="7" fillId="3" borderId="2" xfId="0" applyNumberFormat="1" applyFont="1" applyFill="1" applyBorder="1" applyAlignment="1">
      <alignment horizontal="center"/>
    </xf>
    <xf numFmtId="0" fontId="5" fillId="2" borderId="2" xfId="0" applyFont="1" applyFill="1" applyBorder="1" applyAlignment="1">
      <alignment horizontal="center"/>
    </xf>
    <xf numFmtId="0" fontId="5" fillId="3" borderId="2" xfId="0" applyFont="1" applyFill="1" applyBorder="1" applyAlignment="1">
      <alignment horizontal="center"/>
    </xf>
    <xf numFmtId="0" fontId="5" fillId="3" borderId="0" xfId="0" applyFont="1" applyFill="1" applyAlignment="1">
      <alignment horizontal="center"/>
    </xf>
    <xf numFmtId="0" fontId="7" fillId="2" borderId="3" xfId="0" applyFont="1" applyFill="1" applyBorder="1" applyAlignment="1">
      <alignment horizontal="center"/>
    </xf>
    <xf numFmtId="3" fontId="5" fillId="2" borderId="0" xfId="0" applyNumberFormat="1" applyFont="1" applyFill="1" applyAlignment="1">
      <alignment horizontal="center"/>
    </xf>
    <xf numFmtId="0" fontId="10" fillId="2" borderId="0" xfId="0" applyFont="1" applyFill="1" applyAlignment="1">
      <alignment horizontal="center"/>
    </xf>
    <xf numFmtId="10" fontId="10" fillId="2" borderId="0" xfId="0" applyNumberFormat="1" applyFont="1" applyFill="1" applyAlignment="1">
      <alignment horizontal="center"/>
    </xf>
    <xf numFmtId="0" fontId="10" fillId="3" borderId="0" xfId="0" applyFont="1" applyFill="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4" fontId="7" fillId="2" borderId="5" xfId="0" applyNumberFormat="1" applyFont="1" applyFill="1" applyBorder="1" applyAlignment="1">
      <alignment horizontal="center"/>
    </xf>
    <xf numFmtId="0" fontId="7" fillId="3" borderId="5" xfId="0" applyFont="1" applyFill="1" applyBorder="1" applyAlignment="1">
      <alignment horizontal="center"/>
    </xf>
    <xf numFmtId="164" fontId="7" fillId="2" borderId="5" xfId="0" applyNumberFormat="1" applyFont="1" applyFill="1" applyBorder="1" applyAlignment="1">
      <alignment horizontal="center"/>
    </xf>
    <xf numFmtId="16" fontId="5" fillId="2" borderId="5" xfId="0" applyNumberFormat="1" applyFont="1" applyFill="1" applyBorder="1" applyAlignment="1">
      <alignment horizontal="center"/>
    </xf>
    <xf numFmtId="0" fontId="10" fillId="2" borderId="5" xfId="0" applyFont="1" applyFill="1" applyBorder="1" applyAlignment="1">
      <alignment horizontal="center"/>
    </xf>
    <xf numFmtId="10" fontId="10" fillId="2" borderId="5" xfId="0" applyNumberFormat="1" applyFont="1" applyFill="1" applyBorder="1" applyAlignment="1">
      <alignment horizontal="center"/>
    </xf>
    <xf numFmtId="0" fontId="10" fillId="3" borderId="5" xfId="0" applyFont="1" applyFill="1" applyBorder="1" applyAlignment="1">
      <alignment horizontal="center"/>
    </xf>
    <xf numFmtId="0" fontId="5" fillId="2" borderId="5" xfId="0" applyFont="1" applyFill="1" applyBorder="1" applyAlignment="1">
      <alignment horizontal="center"/>
    </xf>
    <xf numFmtId="0" fontId="5" fillId="3" borderId="5" xfId="0" applyFont="1" applyFill="1" applyBorder="1" applyAlignment="1">
      <alignment horizontal="center"/>
    </xf>
    <xf numFmtId="0" fontId="6" fillId="0" borderId="6" xfId="0" applyFont="1" applyFill="1" applyBorder="1"/>
    <xf numFmtId="165" fontId="6" fillId="0" borderId="6" xfId="0" applyNumberFormat="1" applyFont="1" applyFill="1" applyBorder="1"/>
    <xf numFmtId="4" fontId="6" fillId="0" borderId="7" xfId="0" applyNumberFormat="1" applyFont="1" applyFill="1" applyBorder="1"/>
    <xf numFmtId="4" fontId="6" fillId="0" borderId="8" xfId="0" applyNumberFormat="1" applyFont="1" applyFill="1" applyBorder="1"/>
    <xf numFmtId="4" fontId="7" fillId="0" borderId="8" xfId="0" applyNumberFormat="1" applyFont="1" applyFill="1" applyBorder="1"/>
    <xf numFmtId="4" fontId="8" fillId="0" borderId="8" xfId="0" applyNumberFormat="1" applyFont="1" applyFill="1" applyBorder="1"/>
    <xf numFmtId="4" fontId="6" fillId="0" borderId="9" xfId="0" applyNumberFormat="1" applyFont="1" applyFill="1" applyBorder="1"/>
    <xf numFmtId="10" fontId="6" fillId="0" borderId="10" xfId="0" applyNumberFormat="1" applyFont="1" applyFill="1" applyBorder="1"/>
    <xf numFmtId="0" fontId="6" fillId="0" borderId="0" xfId="0" applyFont="1" applyFill="1" applyAlignment="1">
      <alignment wrapText="1"/>
    </xf>
    <xf numFmtId="4" fontId="6" fillId="0" borderId="8" xfId="0" applyNumberFormat="1" applyFont="1" applyFill="1" applyBorder="1" applyAlignment="1">
      <alignment wrapText="1"/>
    </xf>
    <xf numFmtId="3" fontId="6" fillId="0" borderId="11" xfId="0" applyNumberFormat="1" applyFont="1" applyFill="1" applyBorder="1"/>
    <xf numFmtId="3" fontId="6" fillId="0" borderId="8" xfId="0" applyNumberFormat="1" applyFont="1" applyFill="1" applyBorder="1"/>
    <xf numFmtId="3" fontId="6" fillId="0" borderId="12" xfId="0" applyNumberFormat="1" applyFont="1" applyFill="1" applyBorder="1"/>
    <xf numFmtId="0" fontId="6" fillId="0" borderId="0" xfId="0" applyFont="1" applyFill="1"/>
    <xf numFmtId="4" fontId="6" fillId="2" borderId="7" xfId="0" applyNumberFormat="1" applyFont="1" applyFill="1" applyBorder="1"/>
    <xf numFmtId="4" fontId="6" fillId="2" borderId="8" xfId="0" applyNumberFormat="1" applyFont="1" applyFill="1" applyBorder="1"/>
    <xf numFmtId="4" fontId="6" fillId="2" borderId="8" xfId="0" applyNumberFormat="1" applyFont="1" applyFill="1" applyBorder="1" applyAlignment="1">
      <alignment wrapText="1"/>
    </xf>
    <xf numFmtId="3" fontId="6" fillId="4" borderId="12" xfId="0" applyNumberFormat="1" applyFont="1" applyFill="1" applyBorder="1"/>
    <xf numFmtId="3" fontId="6" fillId="2" borderId="8" xfId="0" applyNumberFormat="1" applyFont="1" applyFill="1" applyBorder="1"/>
    <xf numFmtId="3" fontId="6" fillId="2" borderId="12" xfId="0" applyNumberFormat="1" applyFont="1" applyFill="1" applyBorder="1"/>
    <xf numFmtId="165" fontId="6" fillId="2" borderId="6" xfId="0" applyNumberFormat="1" applyFont="1" applyFill="1" applyBorder="1"/>
    <xf numFmtId="4" fontId="6" fillId="0" borderId="8" xfId="0" applyNumberFormat="1" applyFont="1" applyFill="1" applyBorder="1" applyAlignment="1">
      <alignment horizontal="left" wrapText="1"/>
    </xf>
    <xf numFmtId="3" fontId="7" fillId="2" borderId="12" xfId="0" applyNumberFormat="1" applyFont="1" applyFill="1" applyBorder="1"/>
    <xf numFmtId="165" fontId="6" fillId="0" borderId="6" xfId="0" applyNumberFormat="1" applyFont="1" applyFill="1" applyBorder="1" applyAlignment="1">
      <alignment wrapText="1"/>
    </xf>
    <xf numFmtId="4" fontId="6" fillId="5" borderId="8" xfId="0" quotePrefix="1" applyNumberFormat="1" applyFont="1" applyFill="1" applyBorder="1" applyAlignment="1">
      <alignment wrapText="1"/>
    </xf>
    <xf numFmtId="165" fontId="6" fillId="6" borderId="6" xfId="0" applyNumberFormat="1" applyFont="1" applyFill="1" applyBorder="1"/>
    <xf numFmtId="0" fontId="6" fillId="6" borderId="0" xfId="0" applyFont="1" applyFill="1"/>
    <xf numFmtId="3" fontId="6" fillId="7" borderId="12" xfId="0" applyNumberFormat="1" applyFont="1" applyFill="1" applyBorder="1"/>
    <xf numFmtId="3" fontId="6" fillId="7" borderId="8" xfId="0" applyNumberFormat="1" applyFont="1" applyFill="1" applyBorder="1"/>
    <xf numFmtId="0" fontId="6" fillId="2" borderId="0" xfId="0" applyFont="1" applyFill="1" applyAlignment="1">
      <alignment wrapText="1"/>
    </xf>
    <xf numFmtId="4" fontId="6" fillId="8" borderId="8" xfId="0" applyNumberFormat="1" applyFont="1" applyFill="1" applyBorder="1"/>
    <xf numFmtId="0" fontId="6" fillId="0" borderId="13" xfId="0" applyFont="1" applyFill="1" applyBorder="1"/>
    <xf numFmtId="165" fontId="6" fillId="0" borderId="14" xfId="0" applyNumberFormat="1" applyFont="1" applyFill="1" applyBorder="1"/>
    <xf numFmtId="3" fontId="6" fillId="0" borderId="15" xfId="0" applyNumberFormat="1" applyFont="1" applyFill="1" applyBorder="1"/>
    <xf numFmtId="4" fontId="6" fillId="2" borderId="16" xfId="0" applyNumberFormat="1" applyFont="1" applyFill="1" applyBorder="1"/>
    <xf numFmtId="4" fontId="6" fillId="3" borderId="16" xfId="0" applyNumberFormat="1" applyFont="1" applyFill="1" applyBorder="1"/>
    <xf numFmtId="10" fontId="6" fillId="2" borderId="16" xfId="0" applyNumberFormat="1" applyFont="1" applyFill="1" applyBorder="1"/>
    <xf numFmtId="3" fontId="6" fillId="2" borderId="16" xfId="0" applyNumberFormat="1" applyFont="1" applyFill="1" applyBorder="1"/>
    <xf numFmtId="0" fontId="6" fillId="2" borderId="17" xfId="0" applyFont="1" applyFill="1" applyBorder="1"/>
    <xf numFmtId="10" fontId="6" fillId="2" borderId="18" xfId="0" applyNumberFormat="1" applyFont="1" applyFill="1" applyBorder="1"/>
    <xf numFmtId="10" fontId="6" fillId="2" borderId="0" xfId="0" applyNumberFormat="1" applyFont="1" applyFill="1" applyAlignment="1">
      <alignment horizontal="center"/>
    </xf>
    <xf numFmtId="10" fontId="8" fillId="2" borderId="0" xfId="0" applyNumberFormat="1" applyFont="1" applyFill="1" applyAlignment="1">
      <alignment horizontal="center"/>
    </xf>
    <xf numFmtId="4" fontId="6" fillId="2" borderId="0" xfId="0" applyNumberFormat="1" applyFont="1" applyFill="1" applyAlignment="1">
      <alignment horizontal="right"/>
    </xf>
    <xf numFmtId="4" fontId="6" fillId="2" borderId="0" xfId="0" applyNumberFormat="1" applyFont="1" applyFill="1" applyAlignment="1">
      <alignment horizontal="right" wrapText="1"/>
    </xf>
    <xf numFmtId="4" fontId="6" fillId="6" borderId="8" xfId="0" applyNumberFormat="1" applyFont="1" applyFill="1" applyBorder="1"/>
    <xf numFmtId="4" fontId="6" fillId="0" borderId="20" xfId="0" applyNumberFormat="1" applyFont="1" applyFill="1" applyBorder="1"/>
    <xf numFmtId="0" fontId="7" fillId="2" borderId="19" xfId="0" applyFont="1" applyFill="1" applyBorder="1" applyAlignment="1">
      <alignment horizontal="center"/>
    </xf>
    <xf numFmtId="4" fontId="6" fillId="0" borderId="22" xfId="0" applyNumberFormat="1" applyFont="1" applyFill="1" applyBorder="1"/>
    <xf numFmtId="4" fontId="6" fillId="2" borderId="21" xfId="0" applyNumberFormat="1" applyFont="1" applyFill="1" applyBorder="1"/>
    <xf numFmtId="43" fontId="6" fillId="0" borderId="8" xfId="16" applyFont="1" applyFill="1" applyBorder="1"/>
    <xf numFmtId="43" fontId="6" fillId="0" borderId="20" xfId="16" applyFont="1" applyFill="1" applyBorder="1"/>
    <xf numFmtId="4" fontId="8" fillId="2" borderId="8" xfId="0" applyNumberFormat="1" applyFont="1" applyFill="1" applyBorder="1"/>
    <xf numFmtId="4" fontId="6" fillId="2" borderId="9" xfId="0" applyNumberFormat="1" applyFont="1" applyFill="1" applyBorder="1"/>
    <xf numFmtId="8" fontId="6" fillId="0" borderId="8" xfId="0" applyNumberFormat="1" applyFont="1" applyFill="1" applyBorder="1"/>
    <xf numFmtId="8" fontId="6" fillId="0" borderId="20" xfId="0" applyNumberFormat="1" applyFont="1" applyFill="1" applyBorder="1"/>
    <xf numFmtId="6" fontId="7" fillId="2" borderId="19" xfId="0" applyNumberFormat="1" applyFont="1" applyFill="1" applyBorder="1" applyAlignment="1">
      <alignment horizontal="center"/>
    </xf>
    <xf numFmtId="6" fontId="6" fillId="2" borderId="23" xfId="0" applyNumberFormat="1" applyFont="1" applyFill="1" applyBorder="1"/>
    <xf numFmtId="4" fontId="6" fillId="2" borderId="23" xfId="0" applyNumberFormat="1" applyFont="1" applyFill="1" applyBorder="1"/>
    <xf numFmtId="4" fontId="6" fillId="2" borderId="24" xfId="0" applyNumberFormat="1" applyFont="1" applyFill="1" applyBorder="1"/>
    <xf numFmtId="10" fontId="6" fillId="0" borderId="0" xfId="17" applyNumberFormat="1" applyFont="1" applyFill="1"/>
    <xf numFmtId="4" fontId="6" fillId="0" borderId="8" xfId="0" applyNumberFormat="1" applyFont="1" applyFill="1" applyBorder="1"/>
    <xf numFmtId="4" fontId="6" fillId="2" borderId="0" xfId="0" applyNumberFormat="1" applyFont="1" applyFill="1"/>
    <xf numFmtId="4" fontId="6" fillId="2" borderId="8" xfId="0" applyNumberFormat="1" applyFont="1" applyFill="1" applyBorder="1"/>
    <xf numFmtId="4" fontId="6" fillId="9" borderId="8" xfId="0" applyNumberFormat="1" applyFont="1" applyFill="1" applyBorder="1"/>
    <xf numFmtId="8" fontId="6" fillId="9" borderId="20" xfId="0" applyNumberFormat="1" applyFont="1" applyFill="1" applyBorder="1"/>
    <xf numFmtId="8" fontId="6" fillId="9" borderId="8" xfId="0" applyNumberFormat="1" applyFont="1" applyFill="1" applyBorder="1"/>
    <xf numFmtId="43" fontId="6" fillId="9" borderId="8" xfId="16" applyFont="1" applyFill="1" applyBorder="1"/>
    <xf numFmtId="0" fontId="6" fillId="2" borderId="0" xfId="0" applyFont="1" applyFill="1" applyBorder="1"/>
    <xf numFmtId="165" fontId="6" fillId="0" borderId="6" xfId="0" applyNumberFormat="1" applyFont="1" applyFill="1" applyBorder="1"/>
    <xf numFmtId="4" fontId="6" fillId="0" borderId="8" xfId="0" applyNumberFormat="1" applyFont="1" applyFill="1" applyBorder="1"/>
    <xf numFmtId="4" fontId="6" fillId="0" borderId="16" xfId="0" applyNumberFormat="1" applyFont="1" applyFill="1" applyBorder="1"/>
    <xf numFmtId="3" fontId="6" fillId="0" borderId="8" xfId="0" applyNumberFormat="1" applyFont="1" applyFill="1" applyBorder="1"/>
    <xf numFmtId="4" fontId="6" fillId="0" borderId="8" xfId="0" applyNumberFormat="1" applyFont="1" applyFill="1" applyBorder="1" applyAlignment="1">
      <alignment wrapText="1"/>
    </xf>
    <xf numFmtId="4" fontId="6" fillId="0" borderId="9" xfId="0" applyNumberFormat="1" applyFont="1" applyFill="1" applyBorder="1"/>
    <xf numFmtId="4" fontId="8" fillId="0" borderId="8" xfId="0" applyNumberFormat="1" applyFont="1" applyFill="1" applyBorder="1"/>
    <xf numFmtId="3" fontId="6" fillId="0" borderId="12" xfId="0" applyNumberFormat="1" applyFont="1" applyFill="1" applyBorder="1"/>
    <xf numFmtId="0" fontId="6" fillId="2" borderId="0" xfId="0" applyFont="1" applyFill="1"/>
    <xf numFmtId="0" fontId="7" fillId="2" borderId="0" xfId="0" applyFont="1" applyFill="1" applyAlignment="1">
      <alignment horizontal="center"/>
    </xf>
    <xf numFmtId="0" fontId="7" fillId="2" borderId="5" xfId="0" applyFont="1" applyFill="1" applyBorder="1" applyAlignment="1">
      <alignment horizontal="center"/>
    </xf>
    <xf numFmtId="0" fontId="17" fillId="2" borderId="0" xfId="0" applyFont="1" applyFill="1" applyAlignment="1">
      <alignment horizontal="center" wrapText="1"/>
    </xf>
    <xf numFmtId="6" fontId="6" fillId="2" borderId="24" xfId="0" applyNumberFormat="1" applyFont="1" applyFill="1" applyBorder="1"/>
    <xf numFmtId="6" fontId="6" fillId="10" borderId="23" xfId="0" applyNumberFormat="1" applyFont="1" applyFill="1" applyBorder="1"/>
    <xf numFmtId="6" fontId="7" fillId="10" borderId="19" xfId="0" applyNumberFormat="1" applyFont="1" applyFill="1" applyBorder="1" applyAlignment="1">
      <alignment horizontal="center"/>
    </xf>
    <xf numFmtId="8" fontId="6" fillId="10" borderId="20" xfId="0" applyNumberFormat="1" applyFont="1" applyFill="1" applyBorder="1"/>
    <xf numFmtId="8" fontId="6" fillId="10" borderId="8" xfId="0" applyNumberFormat="1" applyFont="1" applyFill="1" applyBorder="1"/>
    <xf numFmtId="0" fontId="7" fillId="10" borderId="0" xfId="0" applyFont="1" applyFill="1" applyAlignment="1">
      <alignment horizontal="center"/>
    </xf>
    <xf numFmtId="0" fontId="17" fillId="2" borderId="0" xfId="0" applyFont="1" applyFill="1" applyAlignment="1">
      <alignment horizontal="center" wrapText="1"/>
    </xf>
  </cellXfs>
  <cellStyles count="36">
    <cellStyle name="Comma" xfId="16" builtinId="3"/>
    <cellStyle name="Comma 2" xfId="18"/>
    <cellStyle name="Comma0" xfId="1"/>
    <cellStyle name="Comma0 2" xfId="2"/>
    <cellStyle name="Comma0 2 2" xfId="19"/>
    <cellStyle name="Currency 2" xfId="3"/>
    <cellStyle name="Currency 2 2" xfId="20"/>
    <cellStyle name="Currency 2 2 2" xfId="34"/>
    <cellStyle name="Currency 2 3" xfId="29"/>
    <cellStyle name="Currency 2 4" xfId="31"/>
    <cellStyle name="Currency0" xfId="4"/>
    <cellStyle name="Currency0 2" xfId="5"/>
    <cellStyle name="Currency0 2 2" xfId="21"/>
    <cellStyle name="Date" xfId="6"/>
    <cellStyle name="Date 2" xfId="7"/>
    <cellStyle name="Date 2 2" xfId="22"/>
    <cellStyle name="Fixed" xfId="8"/>
    <cellStyle name="Fixed 2" xfId="9"/>
    <cellStyle name="Fixed 2 2" xfId="23"/>
    <cellStyle name="Heading 1 2" xfId="10"/>
    <cellStyle name="Heading 1 2 2" xfId="24"/>
    <cellStyle name="Heading 2 2" xfId="11"/>
    <cellStyle name="Heading 2 2 2" xfId="25"/>
    <cellStyle name="Normal" xfId="0" builtinId="0"/>
    <cellStyle name="Normal 2" xfId="12"/>
    <cellStyle name="Normal 2 2" xfId="26"/>
    <cellStyle name="Normal 3" xfId="13"/>
    <cellStyle name="Normal 4" xfId="14"/>
    <cellStyle name="Normal 4 2" xfId="27"/>
    <cellStyle name="Normal 4 2 2" xfId="35"/>
    <cellStyle name="Normal 4 3" xfId="30"/>
    <cellStyle name="Normal 4 4" xfId="32"/>
    <cellStyle name="Percent" xfId="17" builtinId="5"/>
    <cellStyle name="Percent 2" xfId="33"/>
    <cellStyle name="Total 2" xfId="15"/>
    <cellStyle name="Total 2 2" xfId="28"/>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dmin7\RCB\Year%20End\Priests%20&amp;%20Parishes\Parish%20NAR%20Calc%20&amp;%20Letters\020614%20Parish%20Financial%20Rpts-Calc%20of%20AssessRev-Mult%20y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min10\Parish%20Financial%20Rpts-Calc%20of%20AssessRev-Mult%20y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ppl Schedule for Budget"/>
      <sheetName val="Sheet2"/>
      <sheetName val="12-13 for 14-15 Asmt"/>
      <sheetName val="12-13 for 14-15 Asmt Comments"/>
      <sheetName val="11-12 for 13-14 Asmt"/>
      <sheetName val="10-11 for 12-13 Asmt"/>
      <sheetName val="09-10 for 11-12 Asmt"/>
      <sheetName val="08-09 for 10-11 Asmt"/>
      <sheetName val="07-08 for 09-10 Asmt"/>
      <sheetName val="06-07 for 08-09 Asmt"/>
    </sheetNames>
    <sheetDataSet>
      <sheetData sheetId="0" refreshError="1"/>
      <sheetData sheetId="1" refreshError="1"/>
      <sheetData sheetId="2" refreshError="1"/>
      <sheetData sheetId="3" refreshError="1"/>
      <sheetData sheetId="4" refreshError="1"/>
      <sheetData sheetId="5" refreshError="1"/>
      <sheetData sheetId="6" refreshError="1">
        <row r="6">
          <cell r="AW6">
            <v>649792.29999999993</v>
          </cell>
        </row>
        <row r="7">
          <cell r="AW7">
            <v>27518.880000000005</v>
          </cell>
        </row>
        <row r="8">
          <cell r="AW8">
            <v>141350.44000000018</v>
          </cell>
        </row>
        <row r="9">
          <cell r="AW9">
            <v>51764.350000000006</v>
          </cell>
        </row>
        <row r="10">
          <cell r="AW10">
            <v>44396.159999999996</v>
          </cell>
        </row>
        <row r="11">
          <cell r="AW11">
            <v>77750.400000000038</v>
          </cell>
        </row>
        <row r="12">
          <cell r="AW12">
            <v>743334</v>
          </cell>
        </row>
        <row r="13">
          <cell r="AW13">
            <v>72572.639999999985</v>
          </cell>
        </row>
        <row r="14">
          <cell r="AW14">
            <v>685869.16999999993</v>
          </cell>
        </row>
        <row r="15">
          <cell r="AW15">
            <v>36789.160000000003</v>
          </cell>
        </row>
        <row r="16">
          <cell r="AW16">
            <v>512233.03000000026</v>
          </cell>
        </row>
        <row r="17">
          <cell r="AW17">
            <v>92964.69</v>
          </cell>
        </row>
        <row r="18">
          <cell r="AW18">
            <v>126355.13</v>
          </cell>
        </row>
        <row r="19">
          <cell r="AW19">
            <v>3633.4199999999983</v>
          </cell>
        </row>
        <row r="20">
          <cell r="AW20">
            <v>480242.65</v>
          </cell>
        </row>
        <row r="21">
          <cell r="AW21">
            <v>214514.40999999992</v>
          </cell>
        </row>
        <row r="22">
          <cell r="AW22">
            <v>34385.039999999994</v>
          </cell>
        </row>
        <row r="23">
          <cell r="AW23">
            <v>105660.76999999999</v>
          </cell>
        </row>
        <row r="24">
          <cell r="AW24">
            <v>39963.629999999997</v>
          </cell>
        </row>
        <row r="25">
          <cell r="AW25">
            <v>167946.73</v>
          </cell>
        </row>
        <row r="26">
          <cell r="AW26">
            <v>84456.62</v>
          </cell>
        </row>
        <row r="27">
          <cell r="AW27">
            <v>244603.73999999996</v>
          </cell>
        </row>
        <row r="28">
          <cell r="AW28">
            <v>127042.29000000001</v>
          </cell>
        </row>
        <row r="29">
          <cell r="AW29">
            <v>71828.09</v>
          </cell>
        </row>
        <row r="30">
          <cell r="AW30">
            <v>283438.53999999998</v>
          </cell>
        </row>
        <row r="31">
          <cell r="AW31">
            <v>162052.58999999997</v>
          </cell>
        </row>
        <row r="32">
          <cell r="AW32">
            <v>97778.91</v>
          </cell>
        </row>
        <row r="33">
          <cell r="AW33">
            <v>62047.51</v>
          </cell>
        </row>
        <row r="34">
          <cell r="AW34">
            <v>56817.65</v>
          </cell>
        </row>
        <row r="35">
          <cell r="AW35">
            <v>61183.429999999993</v>
          </cell>
        </row>
        <row r="36">
          <cell r="AW36">
            <v>62874.520000000004</v>
          </cell>
        </row>
        <row r="37">
          <cell r="AW37">
            <v>54995.94</v>
          </cell>
        </row>
        <row r="38">
          <cell r="AW38">
            <v>162329.15999999997</v>
          </cell>
        </row>
        <row r="39">
          <cell r="AW39">
            <v>44013.110000000008</v>
          </cell>
        </row>
        <row r="40">
          <cell r="AW40">
            <v>79401.249999999985</v>
          </cell>
        </row>
        <row r="41">
          <cell r="AW41">
            <v>58874</v>
          </cell>
        </row>
        <row r="42">
          <cell r="AW42">
            <v>83463.679999999993</v>
          </cell>
        </row>
        <row r="43">
          <cell r="AW43">
            <v>64914.270000000004</v>
          </cell>
        </row>
        <row r="44">
          <cell r="AW44">
            <v>38033.81</v>
          </cell>
        </row>
        <row r="45">
          <cell r="AW45">
            <v>79374.22</v>
          </cell>
        </row>
        <row r="46">
          <cell r="AW46">
            <v>582281.03999999992</v>
          </cell>
        </row>
        <row r="47">
          <cell r="AW47">
            <v>97374.450000000026</v>
          </cell>
        </row>
        <row r="48">
          <cell r="AW48">
            <v>533091.12</v>
          </cell>
        </row>
        <row r="49">
          <cell r="AW49">
            <v>537716.05999999982</v>
          </cell>
        </row>
        <row r="50">
          <cell r="AW50">
            <v>50392.41</v>
          </cell>
        </row>
        <row r="51">
          <cell r="AW51">
            <v>389608.17000000004</v>
          </cell>
        </row>
        <row r="52">
          <cell r="AW52">
            <v>20561.349999999999</v>
          </cell>
        </row>
        <row r="53">
          <cell r="AW53">
            <v>415419.99000000022</v>
          </cell>
        </row>
        <row r="54">
          <cell r="AW54">
            <v>106914.81</v>
          </cell>
        </row>
        <row r="55">
          <cell r="AW55">
            <v>228166.52</v>
          </cell>
        </row>
        <row r="56">
          <cell r="AW56">
            <v>242162.19</v>
          </cell>
        </row>
        <row r="57">
          <cell r="AW57">
            <v>33626.150000000009</v>
          </cell>
        </row>
        <row r="58">
          <cell r="AW58">
            <v>98962.320000000022</v>
          </cell>
        </row>
        <row r="59">
          <cell r="AW59">
            <v>272887.83000000019</v>
          </cell>
        </row>
        <row r="60">
          <cell r="AW60">
            <v>55229.649999999994</v>
          </cell>
        </row>
        <row r="61">
          <cell r="AW61">
            <v>154707.49</v>
          </cell>
        </row>
        <row r="62">
          <cell r="AW62">
            <v>84625.989999999991</v>
          </cell>
        </row>
        <row r="63">
          <cell r="AW63">
            <v>57597.75</v>
          </cell>
        </row>
        <row r="64">
          <cell r="AW64">
            <v>316538.59000000003</v>
          </cell>
        </row>
        <row r="65">
          <cell r="AW65">
            <v>127846.07999999999</v>
          </cell>
        </row>
        <row r="66">
          <cell r="AW66">
            <v>58213.55</v>
          </cell>
        </row>
        <row r="67">
          <cell r="AW67">
            <v>368032</v>
          </cell>
        </row>
        <row r="68">
          <cell r="AW68">
            <v>55324.9</v>
          </cell>
        </row>
        <row r="69">
          <cell r="AW69">
            <v>129872.85999999999</v>
          </cell>
        </row>
        <row r="70">
          <cell r="AW70">
            <v>86011.309999999983</v>
          </cell>
        </row>
        <row r="71">
          <cell r="AW71">
            <v>90359.289999999979</v>
          </cell>
        </row>
        <row r="72">
          <cell r="AW72">
            <v>121978.56999999992</v>
          </cell>
        </row>
        <row r="73">
          <cell r="AW73">
            <v>125018.25000000001</v>
          </cell>
        </row>
        <row r="74">
          <cell r="AW74">
            <v>516895.47</v>
          </cell>
        </row>
        <row r="75">
          <cell r="AW75">
            <v>147618.68</v>
          </cell>
        </row>
        <row r="76">
          <cell r="AW76">
            <v>412360.49000000046</v>
          </cell>
        </row>
        <row r="77">
          <cell r="AW77">
            <v>255763.01999999996</v>
          </cell>
        </row>
        <row r="78">
          <cell r="AW78">
            <v>93519.179999999978</v>
          </cell>
        </row>
        <row r="79">
          <cell r="AW79">
            <v>113348.72999999997</v>
          </cell>
        </row>
        <row r="80">
          <cell r="AW80">
            <v>146219.96</v>
          </cell>
        </row>
        <row r="81">
          <cell r="AW81">
            <v>637119.26</v>
          </cell>
        </row>
        <row r="82">
          <cell r="AW82">
            <v>70341.7</v>
          </cell>
        </row>
        <row r="83">
          <cell r="AW83">
            <v>64842.590000000004</v>
          </cell>
        </row>
        <row r="84">
          <cell r="AW84">
            <v>853588</v>
          </cell>
        </row>
        <row r="85">
          <cell r="AW85">
            <v>265523.19</v>
          </cell>
        </row>
        <row r="86">
          <cell r="AW86">
            <v>70202.739999999991</v>
          </cell>
        </row>
      </sheetData>
      <sheetData sheetId="7" refreshError="1"/>
      <sheetData sheetId="8" refreshError="1">
        <row r="6">
          <cell r="AI6">
            <v>1177585.3299999996</v>
          </cell>
          <cell r="AQ6">
            <v>560462.96</v>
          </cell>
          <cell r="AT6">
            <v>622785.88</v>
          </cell>
        </row>
        <row r="7">
          <cell r="AQ7">
            <v>3527.04</v>
          </cell>
          <cell r="AT7">
            <v>5361.21</v>
          </cell>
        </row>
        <row r="8">
          <cell r="AQ8">
            <v>209390.74</v>
          </cell>
          <cell r="AT8">
            <v>285801.05</v>
          </cell>
        </row>
        <row r="9">
          <cell r="AT9">
            <v>148968.31</v>
          </cell>
        </row>
        <row r="10">
          <cell r="AT10">
            <v>4494.59</v>
          </cell>
        </row>
        <row r="11">
          <cell r="AQ11">
            <v>6000</v>
          </cell>
          <cell r="AT11">
            <v>45299.54</v>
          </cell>
        </row>
        <row r="12">
          <cell r="AQ12">
            <v>580600</v>
          </cell>
          <cell r="AT12">
            <v>681580</v>
          </cell>
        </row>
        <row r="13">
          <cell r="AT13">
            <v>95537.85</v>
          </cell>
        </row>
        <row r="14">
          <cell r="AQ14">
            <v>266625.8</v>
          </cell>
          <cell r="AT14">
            <v>1131624.44</v>
          </cell>
        </row>
        <row r="15">
          <cell r="AT15">
            <v>5266.59</v>
          </cell>
        </row>
        <row r="16">
          <cell r="AQ16">
            <v>493767.63</v>
          </cell>
          <cell r="AT16">
            <v>652121.9</v>
          </cell>
        </row>
        <row r="17">
          <cell r="AT17">
            <v>27821.83</v>
          </cell>
        </row>
        <row r="18">
          <cell r="AT18">
            <v>26396.47</v>
          </cell>
        </row>
        <row r="19">
          <cell r="AT19">
            <v>12351.05</v>
          </cell>
        </row>
        <row r="20">
          <cell r="AQ20">
            <v>493181.04</v>
          </cell>
          <cell r="AT20">
            <v>872671.04</v>
          </cell>
        </row>
        <row r="21">
          <cell r="AQ21">
            <v>232524</v>
          </cell>
          <cell r="AT21">
            <v>293841.88</v>
          </cell>
        </row>
        <row r="22">
          <cell r="AT22">
            <v>26884.63</v>
          </cell>
        </row>
        <row r="23">
          <cell r="AQ23">
            <v>22300</v>
          </cell>
          <cell r="AT23">
            <v>23703.599999999999</v>
          </cell>
        </row>
        <row r="24">
          <cell r="AT24">
            <v>8528.86</v>
          </cell>
        </row>
        <row r="25">
          <cell r="AT25">
            <v>4892.33</v>
          </cell>
        </row>
        <row r="26">
          <cell r="AQ26">
            <v>24080.400000000001</v>
          </cell>
          <cell r="AT26">
            <v>24893.45</v>
          </cell>
        </row>
        <row r="27">
          <cell r="AQ27">
            <v>79027.25</v>
          </cell>
          <cell r="AT27">
            <v>204918.59</v>
          </cell>
        </row>
        <row r="28">
          <cell r="AQ28">
            <v>56578.67</v>
          </cell>
          <cell r="AT28">
            <v>84159.1</v>
          </cell>
        </row>
        <row r="29">
          <cell r="AT29">
            <v>51141.039999999994</v>
          </cell>
        </row>
        <row r="30">
          <cell r="AQ30">
            <v>193402.32</v>
          </cell>
          <cell r="AT30">
            <v>218061.6</v>
          </cell>
        </row>
        <row r="31">
          <cell r="AQ31">
            <v>31500</v>
          </cell>
          <cell r="AT31">
            <v>112900.97</v>
          </cell>
        </row>
        <row r="32">
          <cell r="AQ32">
            <v>64586.04</v>
          </cell>
          <cell r="AT32">
            <v>75161.040000000008</v>
          </cell>
        </row>
        <row r="33">
          <cell r="AQ33">
            <v>1540</v>
          </cell>
          <cell r="AT33">
            <v>1991.3600000000001</v>
          </cell>
        </row>
        <row r="34">
          <cell r="AT34">
            <v>13994.68</v>
          </cell>
        </row>
        <row r="35">
          <cell r="AQ35">
            <v>1210</v>
          </cell>
          <cell r="AT35">
            <v>17185.11</v>
          </cell>
        </row>
        <row r="36">
          <cell r="AQ36">
            <v>38345.040000000001</v>
          </cell>
          <cell r="AT36">
            <v>46798.69</v>
          </cell>
        </row>
        <row r="37">
          <cell r="AQ37">
            <v>1210</v>
          </cell>
          <cell r="AT37">
            <v>1558.1100000000001</v>
          </cell>
        </row>
        <row r="38">
          <cell r="AT38">
            <v>59114.880000000005</v>
          </cell>
        </row>
        <row r="39">
          <cell r="AT39">
            <v>11439.550000000001</v>
          </cell>
        </row>
        <row r="40">
          <cell r="AT40">
            <v>46370.14</v>
          </cell>
        </row>
        <row r="41">
          <cell r="AT41">
            <v>38790.49</v>
          </cell>
        </row>
        <row r="42">
          <cell r="AT42">
            <v>5907.15</v>
          </cell>
        </row>
        <row r="43">
          <cell r="AT43">
            <v>4472.8500000000004</v>
          </cell>
        </row>
        <row r="44">
          <cell r="AQ44">
            <v>27000</v>
          </cell>
          <cell r="AT44">
            <v>30590.87</v>
          </cell>
        </row>
        <row r="45">
          <cell r="AT45">
            <v>6671.65</v>
          </cell>
        </row>
        <row r="46">
          <cell r="AQ46">
            <v>145070</v>
          </cell>
          <cell r="AT46">
            <v>240287.71</v>
          </cell>
        </row>
        <row r="47">
          <cell r="AT47">
            <v>35554.21</v>
          </cell>
        </row>
        <row r="48">
          <cell r="AQ48">
            <v>33000</v>
          </cell>
          <cell r="AT48">
            <v>43396.55</v>
          </cell>
        </row>
        <row r="49">
          <cell r="AQ49">
            <v>161787.75</v>
          </cell>
          <cell r="AT49">
            <v>338119.26</v>
          </cell>
        </row>
        <row r="50">
          <cell r="AT50">
            <v>30996.61</v>
          </cell>
        </row>
        <row r="51">
          <cell r="AQ51">
            <v>166800</v>
          </cell>
          <cell r="AT51">
            <v>255761.61</v>
          </cell>
        </row>
        <row r="52">
          <cell r="AT52">
            <v>8386.61</v>
          </cell>
        </row>
        <row r="53">
          <cell r="AQ53">
            <v>124400.04000000001</v>
          </cell>
          <cell r="AT53">
            <v>545229.6</v>
          </cell>
        </row>
        <row r="55">
          <cell r="AQ55">
            <v>6240</v>
          </cell>
        </row>
        <row r="56">
          <cell r="AQ56">
            <v>127500</v>
          </cell>
        </row>
        <row r="58">
          <cell r="AQ58">
            <v>78426</v>
          </cell>
        </row>
        <row r="61">
          <cell r="AQ61">
            <v>90000</v>
          </cell>
        </row>
        <row r="62">
          <cell r="AQ62">
            <v>15780</v>
          </cell>
        </row>
        <row r="64">
          <cell r="AQ64">
            <v>91836.3</v>
          </cell>
          <cell r="AT64">
            <v>126197.6</v>
          </cell>
        </row>
        <row r="65">
          <cell r="AT65">
            <v>13722.240000000002</v>
          </cell>
        </row>
        <row r="66">
          <cell r="AQ66">
            <v>34352.92</v>
          </cell>
          <cell r="AT66">
            <v>62080.07</v>
          </cell>
        </row>
        <row r="67">
          <cell r="AQ67">
            <v>535268.19000000006</v>
          </cell>
          <cell r="AT67">
            <v>697725.9800000001</v>
          </cell>
        </row>
        <row r="68">
          <cell r="AT68">
            <v>6805.28</v>
          </cell>
        </row>
        <row r="69">
          <cell r="AT69">
            <v>91559.47</v>
          </cell>
        </row>
        <row r="70">
          <cell r="AQ70">
            <v>48000</v>
          </cell>
          <cell r="AT70">
            <v>58423.57</v>
          </cell>
        </row>
        <row r="71">
          <cell r="AT71">
            <v>28118.54</v>
          </cell>
        </row>
        <row r="72">
          <cell r="AQ72">
            <v>70475.66</v>
          </cell>
          <cell r="AT72">
            <v>360545.64</v>
          </cell>
        </row>
        <row r="73">
          <cell r="AQ73">
            <v>44094.15</v>
          </cell>
          <cell r="AT73">
            <v>60463.62</v>
          </cell>
        </row>
        <row r="74">
          <cell r="AQ74">
            <v>252109.81</v>
          </cell>
          <cell r="AT74">
            <v>468656.95999999996</v>
          </cell>
        </row>
        <row r="75">
          <cell r="AT75">
            <v>17845.060000000001</v>
          </cell>
        </row>
        <row r="76">
          <cell r="AQ76">
            <v>327365.03999999998</v>
          </cell>
          <cell r="AT76">
            <v>972384.6100000001</v>
          </cell>
        </row>
        <row r="77">
          <cell r="AQ77">
            <v>183007.11</v>
          </cell>
          <cell r="AT77">
            <v>248442.19999999998</v>
          </cell>
        </row>
        <row r="78">
          <cell r="AQ78">
            <v>39482.5</v>
          </cell>
          <cell r="AT78">
            <v>265945.06</v>
          </cell>
        </row>
        <row r="79">
          <cell r="AT79">
            <v>56188.189999999995</v>
          </cell>
        </row>
        <row r="80">
          <cell r="AT80">
            <v>7608.1</v>
          </cell>
        </row>
        <row r="81">
          <cell r="AQ81">
            <v>373000</v>
          </cell>
          <cell r="AT81">
            <v>460535.46</v>
          </cell>
        </row>
        <row r="82">
          <cell r="AT82">
            <v>100274.65</v>
          </cell>
        </row>
        <row r="83">
          <cell r="AT83">
            <v>22969.8</v>
          </cell>
        </row>
        <row r="84">
          <cell r="AQ84">
            <v>626985</v>
          </cell>
          <cell r="AT84">
            <v>703341.2</v>
          </cell>
        </row>
        <row r="85">
          <cell r="AQ85">
            <v>161832.5</v>
          </cell>
          <cell r="AT85">
            <v>202634.87</v>
          </cell>
        </row>
        <row r="86">
          <cell r="AT86">
            <v>32064.620000000003</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ppl Schedule for Budget"/>
      <sheetName val="14-15 for 16-17 Asmt"/>
      <sheetName val="13-14 for 15-16 Asmt"/>
      <sheetName val="12-13 for 14-15 Asmt (updated)"/>
      <sheetName val="12-13 for 14-15 Asmt"/>
      <sheetName val="11-12 for 13-14 Asmt"/>
      <sheetName val="10-11 for 12-13 Asmt"/>
      <sheetName val="09-10 for 11-12 Asmt"/>
      <sheetName val="08-09 for 10-11 Asmt"/>
      <sheetName val="07-08 for 09-10 Asmt"/>
      <sheetName val="06-07 for 08-09 Asmt"/>
    </sheetNames>
    <sheetDataSet>
      <sheetData sheetId="0"/>
      <sheetData sheetId="1"/>
      <sheetData sheetId="2"/>
      <sheetData sheetId="3">
        <row r="87">
          <cell r="C87">
            <v>106391.76</v>
          </cell>
          <cell r="D87">
            <v>65416.62</v>
          </cell>
          <cell r="E87">
            <v>290633.19</v>
          </cell>
          <cell r="F87">
            <v>235.78</v>
          </cell>
          <cell r="G87">
            <v>615.47</v>
          </cell>
          <cell r="H87">
            <v>0</v>
          </cell>
          <cell r="I87">
            <v>22899729.369999997</v>
          </cell>
          <cell r="J87">
            <v>8078.27</v>
          </cell>
          <cell r="K87">
            <v>164690.42000000001</v>
          </cell>
          <cell r="L87">
            <v>57933.57</v>
          </cell>
          <cell r="M87">
            <v>1035434.29</v>
          </cell>
          <cell r="N87">
            <v>721689.05</v>
          </cell>
          <cell r="O87">
            <v>0</v>
          </cell>
          <cell r="P87">
            <v>46097.89</v>
          </cell>
          <cell r="Q87">
            <v>123927.81000000004</v>
          </cell>
          <cell r="R87">
            <v>7468.2500000000009</v>
          </cell>
          <cell r="S87">
            <v>50249.18</v>
          </cell>
          <cell r="T87">
            <v>59433.760000000002</v>
          </cell>
          <cell r="U87">
            <v>42988.770000000004</v>
          </cell>
          <cell r="V87">
            <v>181090.84000000003</v>
          </cell>
          <cell r="W87">
            <v>106198.72</v>
          </cell>
          <cell r="X87">
            <v>1651744.84</v>
          </cell>
          <cell r="Y87">
            <v>24753.040000000001</v>
          </cell>
          <cell r="Z87">
            <v>122617.17</v>
          </cell>
          <cell r="AA87">
            <v>0</v>
          </cell>
          <cell r="AB87">
            <v>30639.39</v>
          </cell>
          <cell r="AC87">
            <v>24356.640000000003</v>
          </cell>
          <cell r="AD87">
            <v>195746.36</v>
          </cell>
          <cell r="AE87">
            <v>1032226.8</v>
          </cell>
          <cell r="AF87">
            <v>710277.4700000002</v>
          </cell>
          <cell r="AG87">
            <v>328195.24999999994</v>
          </cell>
          <cell r="AH87">
            <v>419442.97</v>
          </cell>
          <cell r="AI87">
            <v>30508302.940000013</v>
          </cell>
          <cell r="AJ87">
            <v>1371759.9900000007</v>
          </cell>
          <cell r="AK87">
            <v>29136542.949999996</v>
          </cell>
          <cell r="AL87">
            <v>1212830.5899999996</v>
          </cell>
          <cell r="AM87">
            <v>2892463.6500000004</v>
          </cell>
          <cell r="AO87">
            <v>2730268.3700000006</v>
          </cell>
          <cell r="AQ87">
            <v>6797430.4699999997</v>
          </cell>
          <cell r="AR87">
            <v>0.22280591887947199</v>
          </cell>
          <cell r="AS87">
            <v>7123671.9000000004</v>
          </cell>
          <cell r="AT87">
            <v>13632993.079999996</v>
          </cell>
          <cell r="AU87">
            <v>422614.15999999992</v>
          </cell>
          <cell r="AV87">
            <v>13461909.059999997</v>
          </cell>
          <cell r="AW87">
            <v>16875309.859999999</v>
          </cell>
        </row>
      </sheetData>
      <sheetData sheetId="4">
        <row r="6">
          <cell r="AI6">
            <v>1394780.8199999998</v>
          </cell>
        </row>
        <row r="7">
          <cell r="AI7">
            <v>42794.350000000006</v>
          </cell>
        </row>
        <row r="8">
          <cell r="AI8">
            <v>500599.14000000007</v>
          </cell>
        </row>
        <row r="9">
          <cell r="AI9">
            <v>100157.82999999996</v>
          </cell>
        </row>
        <row r="10">
          <cell r="AI10">
            <v>30386.74</v>
          </cell>
        </row>
        <row r="11">
          <cell r="AI11">
            <v>164971.25999999998</v>
          </cell>
        </row>
        <row r="12">
          <cell r="AI12">
            <v>1497892</v>
          </cell>
        </row>
        <row r="13">
          <cell r="AI13">
            <v>100767.73</v>
          </cell>
        </row>
        <row r="14">
          <cell r="AI14">
            <v>1905182.0100000005</v>
          </cell>
        </row>
        <row r="15">
          <cell r="AI15">
            <v>32880</v>
          </cell>
        </row>
        <row r="16">
          <cell r="AI16">
            <v>1268034.83</v>
          </cell>
        </row>
        <row r="17">
          <cell r="AI17">
            <v>104224.73999999999</v>
          </cell>
        </row>
        <row r="18">
          <cell r="AI18">
            <v>348604.50999999995</v>
          </cell>
        </row>
        <row r="19">
          <cell r="AI19">
            <v>15104.17</v>
          </cell>
        </row>
        <row r="20">
          <cell r="AI20">
            <v>1480968.6699999997</v>
          </cell>
        </row>
        <row r="21">
          <cell r="AI21">
            <v>457031.69</v>
          </cell>
        </row>
        <row r="22">
          <cell r="AI22">
            <v>43374</v>
          </cell>
        </row>
        <row r="23">
          <cell r="AI23">
            <v>165070.13</v>
          </cell>
        </row>
        <row r="24">
          <cell r="AI24">
            <v>39163.210000000006</v>
          </cell>
        </row>
        <row r="25">
          <cell r="AI25">
            <v>196315.8</v>
          </cell>
        </row>
        <row r="26">
          <cell r="AI26">
            <v>105714.94000000003</v>
          </cell>
        </row>
        <row r="27">
          <cell r="AI27">
            <v>421049.33000000007</v>
          </cell>
        </row>
        <row r="28">
          <cell r="AI28">
            <v>279253.13</v>
          </cell>
        </row>
        <row r="29">
          <cell r="AI29">
            <v>65296.889999999992</v>
          </cell>
        </row>
        <row r="30">
          <cell r="AI30">
            <v>714413.75000000023</v>
          </cell>
        </row>
        <row r="31">
          <cell r="AI31">
            <v>273195.11</v>
          </cell>
        </row>
        <row r="32">
          <cell r="AI32">
            <v>181455.42000000004</v>
          </cell>
        </row>
        <row r="33">
          <cell r="AI33">
            <v>79167.180000000022</v>
          </cell>
        </row>
        <row r="34">
          <cell r="AI34">
            <v>66045</v>
          </cell>
        </row>
        <row r="35">
          <cell r="AI35">
            <v>79118.670000000013</v>
          </cell>
        </row>
        <row r="36">
          <cell r="AI36">
            <v>131968.32000000001</v>
          </cell>
        </row>
        <row r="37">
          <cell r="AI37">
            <v>58414.859999999993</v>
          </cell>
        </row>
        <row r="38">
          <cell r="AI38">
            <v>217216.75</v>
          </cell>
        </row>
        <row r="39">
          <cell r="AI39">
            <v>82972.09</v>
          </cell>
        </row>
        <row r="40">
          <cell r="AI40">
            <v>179490.26</v>
          </cell>
        </row>
        <row r="41">
          <cell r="AI41">
            <v>112171.53</v>
          </cell>
        </row>
        <row r="42">
          <cell r="AI42">
            <v>83441.979999999981</v>
          </cell>
        </row>
        <row r="43">
          <cell r="AI43">
            <v>81569.34</v>
          </cell>
        </row>
        <row r="44">
          <cell r="AI44">
            <v>73198.530000000013</v>
          </cell>
        </row>
        <row r="45">
          <cell r="AI45">
            <v>93492.749999999985</v>
          </cell>
        </row>
        <row r="46">
          <cell r="AI46">
            <v>1147299.54</v>
          </cell>
        </row>
        <row r="47">
          <cell r="AI47">
            <v>154774.16999999998</v>
          </cell>
        </row>
        <row r="48">
          <cell r="AI48">
            <v>549848.04</v>
          </cell>
        </row>
        <row r="49">
          <cell r="AI49">
            <v>952720.54</v>
          </cell>
        </row>
        <row r="50">
          <cell r="AI50">
            <v>62326.25</v>
          </cell>
        </row>
        <row r="51">
          <cell r="AI51">
            <v>626046.77000000014</v>
          </cell>
        </row>
        <row r="52">
          <cell r="AI52">
            <v>124167.45999999999</v>
          </cell>
        </row>
        <row r="53">
          <cell r="AI53">
            <v>562869.98999999976</v>
          </cell>
        </row>
        <row r="54">
          <cell r="AI54">
            <v>126069.20999999999</v>
          </cell>
        </row>
        <row r="55">
          <cell r="AI55">
            <v>239710.47000000003</v>
          </cell>
        </row>
        <row r="56">
          <cell r="AI56">
            <v>434261.80000000005</v>
          </cell>
        </row>
        <row r="57">
          <cell r="AI57">
            <v>47577.119999999995</v>
          </cell>
        </row>
        <row r="58">
          <cell r="AI58">
            <v>159252.40000000002</v>
          </cell>
        </row>
        <row r="59">
          <cell r="AI59">
            <v>549485.9</v>
          </cell>
        </row>
        <row r="60">
          <cell r="AI60">
            <v>70969.55</v>
          </cell>
        </row>
        <row r="61">
          <cell r="AI61">
            <v>221597.30000000002</v>
          </cell>
        </row>
        <row r="62">
          <cell r="AI62">
            <v>132218.65999999997</v>
          </cell>
        </row>
        <row r="63">
          <cell r="AI63">
            <v>57803.259999999995</v>
          </cell>
        </row>
        <row r="64">
          <cell r="AI64">
            <v>511860.62999999995</v>
          </cell>
        </row>
        <row r="65">
          <cell r="AI65">
            <v>146936.87999999998</v>
          </cell>
        </row>
        <row r="66">
          <cell r="AI66">
            <v>138787.68</v>
          </cell>
        </row>
        <row r="67">
          <cell r="AI67">
            <v>1064819</v>
          </cell>
        </row>
        <row r="68">
          <cell r="AI68">
            <v>83086.19</v>
          </cell>
        </row>
        <row r="69">
          <cell r="AI69">
            <v>268727.03000000003</v>
          </cell>
        </row>
        <row r="70">
          <cell r="AI70">
            <v>159132.69999999995</v>
          </cell>
        </row>
        <row r="71">
          <cell r="AI71">
            <v>110273.75</v>
          </cell>
        </row>
        <row r="72">
          <cell r="AI72">
            <v>246118.27000000002</v>
          </cell>
        </row>
        <row r="73">
          <cell r="AI73">
            <v>161680.37000000002</v>
          </cell>
        </row>
        <row r="74">
          <cell r="AI74">
            <v>871904.08999999985</v>
          </cell>
        </row>
        <row r="75">
          <cell r="AI75">
            <v>175534.64999999997</v>
          </cell>
        </row>
        <row r="76">
          <cell r="AI76">
            <v>1399566.41</v>
          </cell>
        </row>
        <row r="77">
          <cell r="AI77">
            <v>531475.3600000001</v>
          </cell>
        </row>
        <row r="78">
          <cell r="AI78">
            <v>175357.61</v>
          </cell>
        </row>
        <row r="79">
          <cell r="AI79">
            <v>177460.43000000002</v>
          </cell>
        </row>
        <row r="80">
          <cell r="AI80">
            <v>154663.38999999996</v>
          </cell>
        </row>
        <row r="81">
          <cell r="AI81">
            <v>1044397.7999999998</v>
          </cell>
        </row>
        <row r="82">
          <cell r="AI82">
            <v>64312.33</v>
          </cell>
        </row>
        <row r="83">
          <cell r="AI83">
            <v>98845.290000000008</v>
          </cell>
        </row>
        <row r="84">
          <cell r="AI84">
            <v>1529737.05</v>
          </cell>
        </row>
        <row r="85">
          <cell r="AI85">
            <v>448470.83999999997</v>
          </cell>
        </row>
        <row r="86">
          <cell r="AI86">
            <v>87447.309999999983</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fitToPage="1"/>
  </sheetPr>
  <dimension ref="A1:GA92"/>
  <sheetViews>
    <sheetView tabSelected="1" zoomScaleNormal="100" workbookViewId="0">
      <pane xSplit="2" ySplit="5" topLeftCell="C48" activePane="bottomRight" state="frozen"/>
      <selection pane="topRight" activeCell="C1" sqref="C1"/>
      <selection pane="bottomLeft" activeCell="A6" sqref="A6"/>
      <selection pane="bottomRight" activeCell="B57" sqref="B57"/>
    </sheetView>
  </sheetViews>
  <sheetFormatPr defaultColWidth="9.7109375" defaultRowHeight="11.25"/>
  <cols>
    <col min="1" max="1" width="20.85546875" style="2" customWidth="1"/>
    <col min="2" max="2" width="17.85546875" style="2" customWidth="1"/>
    <col min="3" max="3" width="14.85546875" style="121" customWidth="1"/>
    <col min="4" max="4" width="15.28515625" style="2" customWidth="1"/>
    <col min="5" max="5" width="12.28515625" style="7" hidden="1" customWidth="1"/>
    <col min="6" max="6" width="14.7109375" style="2" hidden="1" customWidth="1"/>
    <col min="7" max="7" width="45.85546875" style="2" hidden="1" customWidth="1"/>
    <col min="8" max="8" width="48.85546875" style="2" hidden="1" customWidth="1"/>
    <col min="9" max="9" width="17.5703125" style="2" hidden="1" customWidth="1"/>
    <col min="10" max="10" width="11.5703125" style="2" hidden="1" customWidth="1"/>
    <col min="11" max="12" width="17.5703125" style="2" hidden="1" customWidth="1"/>
    <col min="13" max="20" width="20.140625" style="2" hidden="1" customWidth="1"/>
    <col min="21" max="21" width="17.42578125" style="2" hidden="1" customWidth="1"/>
    <col min="22" max="22" width="18" style="2" hidden="1" customWidth="1"/>
    <col min="23" max="24" width="20.140625" style="2" hidden="1" customWidth="1"/>
    <col min="25" max="26" width="20.140625" style="8" hidden="1" customWidth="1"/>
    <col min="27" max="27" width="11.85546875" style="2" hidden="1" customWidth="1"/>
    <col min="28" max="28" width="25" style="2" hidden="1" customWidth="1"/>
    <col min="29" max="29" width="13.140625" style="2" customWidth="1"/>
    <col min="30" max="30" width="14.140625" style="2" customWidth="1"/>
    <col min="31" max="31" width="14" style="121" customWidth="1"/>
    <col min="32" max="32" width="11.28515625" style="2" customWidth="1"/>
    <col min="33" max="33" width="9" style="2" customWidth="1"/>
    <col min="34" max="34" width="10.28515625" style="121" customWidth="1"/>
    <col min="35" max="16384" width="9.7109375" style="2"/>
  </cols>
  <sheetData>
    <row r="1" spans="1:36" ht="32.25" customHeight="1">
      <c r="A1" s="131" t="s">
        <v>492</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24"/>
    </row>
    <row r="2" spans="1:36" ht="23.25" customHeight="1">
      <c r="A2" s="1"/>
      <c r="C2" s="122" t="s">
        <v>491</v>
      </c>
      <c r="D2" s="9" t="s">
        <v>487</v>
      </c>
      <c r="E2" s="9" t="s">
        <v>435</v>
      </c>
      <c r="F2" s="9" t="s">
        <v>436</v>
      </c>
      <c r="G2" s="9" t="s">
        <v>437</v>
      </c>
      <c r="H2" s="9" t="s">
        <v>438</v>
      </c>
      <c r="I2" s="9" t="s">
        <v>439</v>
      </c>
      <c r="J2" s="9" t="s">
        <v>440</v>
      </c>
      <c r="K2" s="9" t="s">
        <v>441</v>
      </c>
      <c r="L2" s="9" t="s">
        <v>442</v>
      </c>
      <c r="M2" s="9" t="s">
        <v>443</v>
      </c>
      <c r="N2" s="9" t="s">
        <v>444</v>
      </c>
      <c r="O2" s="9" t="s">
        <v>445</v>
      </c>
      <c r="P2" s="9" t="s">
        <v>446</v>
      </c>
      <c r="Q2" s="9" t="s">
        <v>447</v>
      </c>
      <c r="R2" s="9" t="s">
        <v>448</v>
      </c>
      <c r="S2" s="9" t="s">
        <v>449</v>
      </c>
      <c r="T2" s="9" t="s">
        <v>450</v>
      </c>
      <c r="U2" s="9" t="s">
        <v>451</v>
      </c>
      <c r="V2" s="9" t="s">
        <v>452</v>
      </c>
      <c r="W2" s="9" t="s">
        <v>453</v>
      </c>
      <c r="X2" s="9" t="s">
        <v>454</v>
      </c>
      <c r="Y2" s="9" t="s">
        <v>455</v>
      </c>
      <c r="Z2" s="9" t="s">
        <v>456</v>
      </c>
      <c r="AA2" s="9" t="s">
        <v>457</v>
      </c>
      <c r="AB2" s="9" t="s">
        <v>458</v>
      </c>
      <c r="AC2" s="9" t="s">
        <v>434</v>
      </c>
      <c r="AD2" s="9" t="s">
        <v>37</v>
      </c>
      <c r="AE2" s="122"/>
    </row>
    <row r="3" spans="1:36" s="9" customFormat="1" ht="12.75" customHeight="1">
      <c r="A3" s="12"/>
      <c r="C3" s="122" t="s">
        <v>9</v>
      </c>
      <c r="D3" s="9" t="s">
        <v>9</v>
      </c>
      <c r="E3" s="9" t="s">
        <v>11</v>
      </c>
      <c r="F3" s="9" t="s">
        <v>461</v>
      </c>
      <c r="G3" s="9" t="s">
        <v>462</v>
      </c>
      <c r="H3" s="9" t="s">
        <v>463</v>
      </c>
      <c r="I3" s="9" t="s">
        <v>12</v>
      </c>
      <c r="J3" s="9" t="s">
        <v>464</v>
      </c>
      <c r="K3" s="9" t="s">
        <v>465</v>
      </c>
      <c r="L3" s="9" t="s">
        <v>466</v>
      </c>
      <c r="M3" s="9" t="s">
        <v>467</v>
      </c>
      <c r="N3" s="9" t="s">
        <v>468</v>
      </c>
      <c r="O3" s="9" t="s">
        <v>469</v>
      </c>
      <c r="P3" s="9" t="s">
        <v>470</v>
      </c>
      <c r="Q3" s="9" t="s">
        <v>471</v>
      </c>
      <c r="R3" s="9" t="s">
        <v>472</v>
      </c>
      <c r="S3" s="9" t="s">
        <v>473</v>
      </c>
      <c r="T3" s="9" t="s">
        <v>474</v>
      </c>
      <c r="U3" s="9" t="s">
        <v>475</v>
      </c>
      <c r="V3" s="9" t="s">
        <v>476</v>
      </c>
      <c r="W3" s="9" t="s">
        <v>477</v>
      </c>
      <c r="X3" s="9" t="s">
        <v>478</v>
      </c>
      <c r="Y3" s="9" t="s">
        <v>479</v>
      </c>
      <c r="Z3" s="9" t="s">
        <v>480</v>
      </c>
      <c r="AA3" s="9" t="s">
        <v>481</v>
      </c>
      <c r="AB3" s="9" t="s">
        <v>482</v>
      </c>
      <c r="AC3" s="9" t="s">
        <v>9</v>
      </c>
      <c r="AD3" s="9" t="s">
        <v>95</v>
      </c>
      <c r="AE3" s="130" t="s">
        <v>494</v>
      </c>
      <c r="AF3" s="9" t="s">
        <v>493</v>
      </c>
      <c r="AG3" s="9" t="s">
        <v>490</v>
      </c>
      <c r="AH3" s="130" t="s">
        <v>494</v>
      </c>
      <c r="AI3" s="9" t="s">
        <v>493</v>
      </c>
      <c r="AJ3" s="9" t="s">
        <v>490</v>
      </c>
    </row>
    <row r="4" spans="1:36" s="9" customFormat="1">
      <c r="A4" s="9" t="s">
        <v>53</v>
      </c>
      <c r="B4" s="9" t="s">
        <v>54</v>
      </c>
      <c r="C4" s="122" t="s">
        <v>58</v>
      </c>
      <c r="D4" s="9" t="s">
        <v>58</v>
      </c>
      <c r="E4" s="9" t="s">
        <v>58</v>
      </c>
      <c r="F4" s="9" t="s">
        <v>58</v>
      </c>
      <c r="G4" s="9" t="s">
        <v>58</v>
      </c>
      <c r="H4" s="9" t="s">
        <v>58</v>
      </c>
      <c r="I4" s="9" t="s">
        <v>58</v>
      </c>
      <c r="J4" s="9" t="s">
        <v>58</v>
      </c>
      <c r="K4" s="9" t="s">
        <v>58</v>
      </c>
      <c r="L4" s="9" t="s">
        <v>58</v>
      </c>
      <c r="M4" s="9" t="s">
        <v>58</v>
      </c>
      <c r="N4" s="9" t="s">
        <v>58</v>
      </c>
      <c r="O4" s="9" t="s">
        <v>58</v>
      </c>
      <c r="P4" s="9" t="s">
        <v>58</v>
      </c>
      <c r="Q4" s="9" t="s">
        <v>58</v>
      </c>
      <c r="R4" s="9" t="s">
        <v>58</v>
      </c>
      <c r="S4" s="9" t="s">
        <v>58</v>
      </c>
      <c r="T4" s="9" t="s">
        <v>58</v>
      </c>
      <c r="U4" s="9" t="s">
        <v>58</v>
      </c>
      <c r="V4" s="9" t="s">
        <v>58</v>
      </c>
      <c r="W4" s="9" t="s">
        <v>58</v>
      </c>
      <c r="X4" s="9" t="s">
        <v>58</v>
      </c>
      <c r="Y4" s="9" t="s">
        <v>58</v>
      </c>
      <c r="Z4" s="9" t="s">
        <v>58</v>
      </c>
      <c r="AA4" s="9" t="s">
        <v>58</v>
      </c>
      <c r="AB4" s="9" t="s">
        <v>58</v>
      </c>
      <c r="AC4" s="9" t="s">
        <v>58</v>
      </c>
      <c r="AD4" s="9" t="s">
        <v>483</v>
      </c>
      <c r="AE4" s="130" t="s">
        <v>486</v>
      </c>
      <c r="AF4" s="9" t="s">
        <v>486</v>
      </c>
      <c r="AG4" s="9" t="s">
        <v>37</v>
      </c>
      <c r="AH4" s="130" t="s">
        <v>486</v>
      </c>
      <c r="AI4" s="9" t="s">
        <v>486</v>
      </c>
      <c r="AJ4" s="9" t="s">
        <v>37</v>
      </c>
    </row>
    <row r="5" spans="1:36" s="9" customFormat="1" ht="12" thickBot="1">
      <c r="C5" s="123" t="s">
        <v>95</v>
      </c>
      <c r="D5" s="35" t="s">
        <v>95</v>
      </c>
      <c r="E5" s="35" t="s">
        <v>95</v>
      </c>
      <c r="F5" s="35" t="s">
        <v>95</v>
      </c>
      <c r="G5" s="35" t="s">
        <v>95</v>
      </c>
      <c r="H5" s="35" t="s">
        <v>95</v>
      </c>
      <c r="I5" s="35" t="s">
        <v>95</v>
      </c>
      <c r="J5" s="35" t="s">
        <v>95</v>
      </c>
      <c r="K5" s="35" t="s">
        <v>95</v>
      </c>
      <c r="L5" s="35" t="s">
        <v>95</v>
      </c>
      <c r="M5" s="35" t="s">
        <v>95</v>
      </c>
      <c r="N5" s="35" t="s">
        <v>95</v>
      </c>
      <c r="O5" s="35" t="s">
        <v>95</v>
      </c>
      <c r="P5" s="35" t="s">
        <v>95</v>
      </c>
      <c r="Q5" s="35" t="s">
        <v>95</v>
      </c>
      <c r="R5" s="35" t="s">
        <v>95</v>
      </c>
      <c r="S5" s="35" t="s">
        <v>95</v>
      </c>
      <c r="T5" s="35" t="s">
        <v>95</v>
      </c>
      <c r="U5" s="35" t="s">
        <v>95</v>
      </c>
      <c r="V5" s="35" t="s">
        <v>95</v>
      </c>
      <c r="W5" s="35" t="s">
        <v>95</v>
      </c>
      <c r="X5" s="35" t="s">
        <v>95</v>
      </c>
      <c r="Y5" s="35" t="s">
        <v>95</v>
      </c>
      <c r="Z5" s="35" t="s">
        <v>95</v>
      </c>
      <c r="AA5" s="35" t="s">
        <v>95</v>
      </c>
      <c r="AB5" s="35" t="s">
        <v>95</v>
      </c>
      <c r="AC5" s="35" t="s">
        <v>95</v>
      </c>
      <c r="AD5" s="91" t="s">
        <v>484</v>
      </c>
      <c r="AE5" s="127">
        <v>650000</v>
      </c>
      <c r="AF5" s="100">
        <v>650000</v>
      </c>
      <c r="AG5" s="91" t="s">
        <v>95</v>
      </c>
      <c r="AH5" s="127">
        <v>700000</v>
      </c>
      <c r="AI5" s="100">
        <v>700000</v>
      </c>
      <c r="AJ5" s="91" t="s">
        <v>95</v>
      </c>
    </row>
    <row r="6" spans="1:36" s="58" customFormat="1" ht="36.75" customHeight="1" thickTop="1">
      <c r="A6" s="45" t="s">
        <v>135</v>
      </c>
      <c r="B6" s="46" t="s">
        <v>136</v>
      </c>
      <c r="C6" s="114">
        <v>1129329.02</v>
      </c>
      <c r="D6" s="105">
        <v>1225095.22</v>
      </c>
      <c r="E6" s="50" t="e">
        <f>(#REF!-F6)</f>
        <v>#REF!</v>
      </c>
      <c r="F6" s="51">
        <f>'[1]10-11 for 12-13 Asmt'!AW6</f>
        <v>649792.29999999993</v>
      </c>
      <c r="G6" s="53"/>
      <c r="H6" s="54"/>
      <c r="I6" s="55"/>
      <c r="J6" s="56"/>
      <c r="K6" s="57"/>
      <c r="L6" s="57">
        <f>SUM(J6:K6)</f>
        <v>0</v>
      </c>
      <c r="M6" s="57">
        <v>75952.834447283632</v>
      </c>
      <c r="N6" s="55">
        <v>62157</v>
      </c>
      <c r="O6" s="57">
        <v>48207.776583678802</v>
      </c>
      <c r="P6" s="57">
        <v>47257</v>
      </c>
      <c r="Q6" s="57">
        <v>53990</v>
      </c>
      <c r="R6" s="57">
        <v>47896.338584167788</v>
      </c>
      <c r="S6" s="56">
        <v>74385</v>
      </c>
      <c r="T6" s="56">
        <v>47198</v>
      </c>
      <c r="U6" s="56">
        <v>47103</v>
      </c>
      <c r="V6" s="56">
        <v>49124</v>
      </c>
      <c r="W6" s="56">
        <v>35946</v>
      </c>
      <c r="X6" s="56">
        <v>37797</v>
      </c>
      <c r="Y6" s="56">
        <v>34244.324989071261</v>
      </c>
      <c r="Z6" s="56">
        <v>26436.365624535989</v>
      </c>
      <c r="AA6" s="57"/>
      <c r="AB6" s="46" t="s">
        <v>138</v>
      </c>
      <c r="AC6" s="105">
        <v>1253136.21</v>
      </c>
      <c r="AD6" s="95">
        <f>(C6+D6+AC6)/3</f>
        <v>1202520.1500000001</v>
      </c>
      <c r="AE6" s="128">
        <v>34431.379017650819</v>
      </c>
      <c r="AF6" s="99">
        <f>($AD6/$AD$88)*$AF$5</f>
        <v>32826.949229535065</v>
      </c>
      <c r="AG6" s="104">
        <f t="shared" ref="AG6:AG37" si="0">AF6/AD6</f>
        <v>2.7298460844531428E-2</v>
      </c>
      <c r="AH6" s="128">
        <v>37079.946634393193</v>
      </c>
      <c r="AI6" s="99">
        <f>($AD6/$AD$88)*$AI$5</f>
        <v>35352.099170268535</v>
      </c>
      <c r="AJ6" s="104">
        <f t="shared" ref="AJ6:AJ37" si="1">AI6/AD6</f>
        <v>2.9398342447956926E-2</v>
      </c>
    </row>
    <row r="7" spans="1:36" ht="15" customHeight="1">
      <c r="A7" s="45" t="s">
        <v>139</v>
      </c>
      <c r="B7" s="46" t="s">
        <v>136</v>
      </c>
      <c r="C7" s="114">
        <v>44998.83</v>
      </c>
      <c r="D7" s="105">
        <v>40942.74</v>
      </c>
      <c r="E7" s="50" t="e">
        <f>(#REF!-F7)</f>
        <v>#REF!</v>
      </c>
      <c r="F7" s="51">
        <f>'[1]10-11 for 12-13 Asmt'!AW7</f>
        <v>27518.880000000005</v>
      </c>
      <c r="G7" s="61"/>
      <c r="H7" s="61"/>
      <c r="I7" s="62"/>
      <c r="J7" s="63"/>
      <c r="K7" s="62"/>
      <c r="L7" s="62">
        <v>1318</v>
      </c>
      <c r="M7" s="62">
        <v>1232.6480000000001</v>
      </c>
      <c r="N7" s="62">
        <v>1289</v>
      </c>
      <c r="O7" s="64">
        <v>500</v>
      </c>
      <c r="P7" s="64">
        <v>500</v>
      </c>
      <c r="Q7" s="64">
        <v>500</v>
      </c>
      <c r="R7" s="64">
        <v>500</v>
      </c>
      <c r="S7" s="63">
        <v>500</v>
      </c>
      <c r="T7" s="63">
        <v>500</v>
      </c>
      <c r="U7" s="63">
        <v>500</v>
      </c>
      <c r="V7" s="63">
        <v>525</v>
      </c>
      <c r="W7" s="63">
        <v>565</v>
      </c>
      <c r="X7" s="63">
        <v>1038</v>
      </c>
      <c r="Y7" s="63">
        <v>1563.6212752836959</v>
      </c>
      <c r="Z7" s="63">
        <v>1801.2245231573754</v>
      </c>
      <c r="AA7" s="64"/>
      <c r="AB7" s="65" t="s">
        <v>136</v>
      </c>
      <c r="AC7" s="107">
        <v>39759.24</v>
      </c>
      <c r="AD7" s="95">
        <f t="shared" ref="AD7:AD70" si="2">(C7+D7+AC7)/3</f>
        <v>41900.269999999997</v>
      </c>
      <c r="AE7" s="129">
        <v>1110.7772111383454</v>
      </c>
      <c r="AF7" s="99">
        <f t="shared" ref="AF7:AF70" si="3">($AD7/$AD$88)*$AF$5</f>
        <v>1143.8128799702949</v>
      </c>
      <c r="AG7" s="104">
        <f t="shared" si="0"/>
        <v>2.7298460844531431E-2</v>
      </c>
      <c r="AH7" s="128">
        <v>1196.2216119951411</v>
      </c>
      <c r="AI7" s="99">
        <f t="shared" ref="AI7:AI70" si="4">($AD7/$AD$88)*$AI$5</f>
        <v>1231.7984861218561</v>
      </c>
      <c r="AJ7" s="104">
        <f t="shared" si="1"/>
        <v>2.9398342447956926E-2</v>
      </c>
    </row>
    <row r="8" spans="1:36" s="58" customFormat="1" ht="15" customHeight="1">
      <c r="A8" s="45" t="s">
        <v>141</v>
      </c>
      <c r="B8" s="46" t="s">
        <v>142</v>
      </c>
      <c r="C8" s="114">
        <v>401110.5</v>
      </c>
      <c r="D8" s="105">
        <v>450509.41</v>
      </c>
      <c r="E8" s="50" t="e">
        <f>(#REF!-F8)</f>
        <v>#REF!</v>
      </c>
      <c r="F8" s="51">
        <f>'[1]10-11 for 12-13 Asmt'!AW8</f>
        <v>141350.44000000018</v>
      </c>
      <c r="G8" s="54" t="s">
        <v>144</v>
      </c>
      <c r="H8" s="66" t="s">
        <v>145</v>
      </c>
      <c r="I8" s="57"/>
      <c r="J8" s="56"/>
      <c r="K8" s="57"/>
      <c r="L8" s="57">
        <f>SUM(J8:K8)</f>
        <v>0</v>
      </c>
      <c r="M8" s="57">
        <v>40218.094877835523</v>
      </c>
      <c r="N8" s="57">
        <v>39957</v>
      </c>
      <c r="O8" s="57">
        <v>30782.263384326066</v>
      </c>
      <c r="P8" s="57">
        <v>36340</v>
      </c>
      <c r="Q8" s="57">
        <v>36161</v>
      </c>
      <c r="R8" s="57">
        <v>27914.290105553901</v>
      </c>
      <c r="S8" s="56">
        <v>34223</v>
      </c>
      <c r="T8" s="56">
        <v>28616</v>
      </c>
      <c r="U8" s="56">
        <v>28664</v>
      </c>
      <c r="V8" s="56">
        <v>27664</v>
      </c>
      <c r="W8" s="56">
        <v>24716</v>
      </c>
      <c r="X8" s="56">
        <v>19565</v>
      </c>
      <c r="Y8" s="56">
        <v>20082.824276612297</v>
      </c>
      <c r="Z8" s="56">
        <v>23734</v>
      </c>
      <c r="AA8" s="57"/>
      <c r="AB8" s="46" t="s">
        <v>142</v>
      </c>
      <c r="AC8" s="105">
        <v>442484</v>
      </c>
      <c r="AD8" s="95">
        <f t="shared" si="2"/>
        <v>431367.97</v>
      </c>
      <c r="AE8" s="129">
        <v>12596.017244776915</v>
      </c>
      <c r="AF8" s="99">
        <f t="shared" si="3"/>
        <v>11775.681638630007</v>
      </c>
      <c r="AG8" s="104">
        <f t="shared" si="0"/>
        <v>2.7298460844531428E-2</v>
      </c>
      <c r="AH8" s="128">
        <v>13564.941648221293</v>
      </c>
      <c r="AI8" s="99">
        <f t="shared" si="4"/>
        <v>12681.503303140007</v>
      </c>
      <c r="AJ8" s="104">
        <f t="shared" si="1"/>
        <v>2.9398342447956922E-2</v>
      </c>
    </row>
    <row r="9" spans="1:36" s="58" customFormat="1" ht="15" customHeight="1">
      <c r="A9" s="45" t="s">
        <v>141</v>
      </c>
      <c r="B9" s="46" t="s">
        <v>146</v>
      </c>
      <c r="C9" s="114">
        <v>62212.04</v>
      </c>
      <c r="D9" s="105">
        <v>61004.39</v>
      </c>
      <c r="E9" s="50" t="e">
        <f>(#REF!-F9)</f>
        <v>#REF!</v>
      </c>
      <c r="F9" s="51">
        <f>'[1]10-11 for 12-13 Asmt'!AW9</f>
        <v>51764.350000000006</v>
      </c>
      <c r="G9" s="54"/>
      <c r="H9" s="54" t="s">
        <v>148</v>
      </c>
      <c r="I9" s="57"/>
      <c r="J9" s="56"/>
      <c r="K9" s="57"/>
      <c r="L9" s="57">
        <v>2602</v>
      </c>
      <c r="M9" s="57">
        <v>2773.0475000000006</v>
      </c>
      <c r="N9" s="57">
        <v>1967</v>
      </c>
      <c r="O9" s="57">
        <v>1250</v>
      </c>
      <c r="P9" s="57">
        <v>5335</v>
      </c>
      <c r="Q9" s="57">
        <v>5869</v>
      </c>
      <c r="R9" s="57">
        <v>6493.0289605767002</v>
      </c>
      <c r="S9" s="56">
        <v>5716</v>
      </c>
      <c r="T9" s="56">
        <v>5435</v>
      </c>
      <c r="U9" s="56">
        <v>5084</v>
      </c>
      <c r="V9" s="56">
        <v>4719</v>
      </c>
      <c r="W9" s="56">
        <v>1084</v>
      </c>
      <c r="X9" s="56">
        <v>1072</v>
      </c>
      <c r="Y9" s="56">
        <v>2293.6002674896899</v>
      </c>
      <c r="Z9" s="56">
        <v>2096.7026722640344</v>
      </c>
      <c r="AA9" s="57"/>
      <c r="AB9" s="46" t="s">
        <v>146</v>
      </c>
      <c r="AC9" s="105">
        <v>48000.800000000003</v>
      </c>
      <c r="AD9" s="95">
        <f t="shared" si="2"/>
        <v>57072.409999999996</v>
      </c>
      <c r="AE9" s="129">
        <v>1526.3616410327647</v>
      </c>
      <c r="AF9" s="99">
        <f t="shared" si="3"/>
        <v>1557.9889496880437</v>
      </c>
      <c r="AG9" s="104">
        <f t="shared" si="0"/>
        <v>2.7298460844531428E-2</v>
      </c>
      <c r="AH9" s="128">
        <v>1643.774074958362</v>
      </c>
      <c r="AI9" s="99">
        <f t="shared" si="4"/>
        <v>1677.8342535102011</v>
      </c>
      <c r="AJ9" s="104">
        <f t="shared" si="1"/>
        <v>2.9398342447956922E-2</v>
      </c>
    </row>
    <row r="10" spans="1:36" s="58" customFormat="1" ht="15" customHeight="1">
      <c r="A10" s="45" t="s">
        <v>149</v>
      </c>
      <c r="B10" s="46" t="s">
        <v>150</v>
      </c>
      <c r="C10" s="114">
        <v>19479.009999999998</v>
      </c>
      <c r="D10" s="105">
        <v>20816.689999999999</v>
      </c>
      <c r="E10" s="50" t="e">
        <f>(#REF!-F10)</f>
        <v>#REF!</v>
      </c>
      <c r="F10" s="51">
        <f>'[1]10-11 for 12-13 Asmt'!AW10</f>
        <v>44396.159999999996</v>
      </c>
      <c r="G10" s="54"/>
      <c r="H10" s="54" t="s">
        <v>152</v>
      </c>
      <c r="I10" s="57"/>
      <c r="J10" s="56"/>
      <c r="K10" s="57"/>
      <c r="L10" s="57">
        <v>1341</v>
      </c>
      <c r="M10" s="57">
        <v>1283.1315000000002</v>
      </c>
      <c r="N10" s="57">
        <v>1039</v>
      </c>
      <c r="O10" s="57">
        <v>500</v>
      </c>
      <c r="P10" s="57">
        <v>750</v>
      </c>
      <c r="Q10" s="57">
        <v>4708</v>
      </c>
      <c r="R10" s="57">
        <v>6240.5901998713998</v>
      </c>
      <c r="S10" s="56">
        <v>6499</v>
      </c>
      <c r="T10" s="56">
        <v>4400</v>
      </c>
      <c r="U10" s="56">
        <v>2200</v>
      </c>
      <c r="V10" s="56">
        <v>1100</v>
      </c>
      <c r="W10" s="56">
        <v>1093</v>
      </c>
      <c r="X10" s="56">
        <v>1074</v>
      </c>
      <c r="Y10" s="56">
        <v>2301.7704581746525</v>
      </c>
      <c r="Z10" s="56">
        <v>2295.4342109768891</v>
      </c>
      <c r="AA10" s="57"/>
      <c r="AB10" s="46" t="s">
        <v>150</v>
      </c>
      <c r="AC10" s="105">
        <v>19819.84</v>
      </c>
      <c r="AD10" s="95">
        <f t="shared" si="2"/>
        <v>20038.513333333332</v>
      </c>
      <c r="AE10" s="129">
        <v>569.27493440994215</v>
      </c>
      <c r="AF10" s="99">
        <f t="shared" si="3"/>
        <v>547.02057161262098</v>
      </c>
      <c r="AG10" s="104">
        <f t="shared" si="0"/>
        <v>2.7298460844531431E-2</v>
      </c>
      <c r="AH10" s="128">
        <v>613.06531397993763</v>
      </c>
      <c r="AI10" s="99">
        <f t="shared" si="4"/>
        <v>589.09907712128415</v>
      </c>
      <c r="AJ10" s="104">
        <f t="shared" si="1"/>
        <v>2.9398342447956926E-2</v>
      </c>
    </row>
    <row r="11" spans="1:36" s="58" customFormat="1" ht="15" customHeight="1">
      <c r="A11" s="45" t="s">
        <v>153</v>
      </c>
      <c r="B11" s="46" t="s">
        <v>154</v>
      </c>
      <c r="C11" s="114">
        <v>115335.1</v>
      </c>
      <c r="D11" s="105">
        <v>104875.35</v>
      </c>
      <c r="E11" s="50" t="e">
        <f>(#REF!-F11)</f>
        <v>#REF!</v>
      </c>
      <c r="F11" s="51">
        <f>'[1]10-11 for 12-13 Asmt'!AW11</f>
        <v>77750.400000000038</v>
      </c>
      <c r="G11" s="54"/>
      <c r="H11" s="54" t="s">
        <v>156</v>
      </c>
      <c r="I11" s="57"/>
      <c r="J11" s="56"/>
      <c r="K11" s="57"/>
      <c r="L11" s="57">
        <f>SUM(J11:K11)</f>
        <v>0</v>
      </c>
      <c r="M11" s="57">
        <v>13302.374058628653</v>
      </c>
      <c r="N11" s="57">
        <v>12766</v>
      </c>
      <c r="O11" s="57">
        <v>15181.993973236642</v>
      </c>
      <c r="P11" s="57">
        <v>8842</v>
      </c>
      <c r="Q11" s="57">
        <v>7241</v>
      </c>
      <c r="R11" s="57">
        <v>7500.8099729633195</v>
      </c>
      <c r="S11" s="56">
        <v>8401</v>
      </c>
      <c r="T11" s="56">
        <v>6674</v>
      </c>
      <c r="U11" s="56">
        <v>8066</v>
      </c>
      <c r="V11" s="56">
        <v>8536</v>
      </c>
      <c r="W11" s="56">
        <v>8150</v>
      </c>
      <c r="X11" s="56">
        <v>7508</v>
      </c>
      <c r="Y11" s="56">
        <v>6456.472283727976</v>
      </c>
      <c r="Z11" s="56">
        <v>7605.4113619545669</v>
      </c>
      <c r="AA11" s="57"/>
      <c r="AB11" s="46" t="s">
        <v>154</v>
      </c>
      <c r="AC11" s="105">
        <v>93462.97</v>
      </c>
      <c r="AD11" s="95">
        <f t="shared" si="2"/>
        <v>104557.80666666669</v>
      </c>
      <c r="AE11" s="129">
        <v>2729.9274756448517</v>
      </c>
      <c r="AF11" s="99">
        <f t="shared" si="3"/>
        <v>2854.2671912800879</v>
      </c>
      <c r="AG11" s="104">
        <f t="shared" si="0"/>
        <v>2.7298460844531431E-2</v>
      </c>
      <c r="AH11" s="128">
        <v>2939.9218968483019</v>
      </c>
      <c r="AI11" s="99">
        <f t="shared" si="4"/>
        <v>3073.8262059939407</v>
      </c>
      <c r="AJ11" s="104">
        <f t="shared" si="1"/>
        <v>2.9398342447956922E-2</v>
      </c>
    </row>
    <row r="12" spans="1:36" ht="15" customHeight="1">
      <c r="A12" s="45" t="s">
        <v>157</v>
      </c>
      <c r="B12" s="46" t="s">
        <v>158</v>
      </c>
      <c r="C12" s="114">
        <v>1487089.34</v>
      </c>
      <c r="D12" s="105">
        <v>1510442.62</v>
      </c>
      <c r="E12" s="50" t="e">
        <f>(#REF!-F12)</f>
        <v>#REF!</v>
      </c>
      <c r="F12" s="51">
        <f>'[1]10-11 for 12-13 Asmt'!AW12</f>
        <v>743334</v>
      </c>
      <c r="G12" s="61" t="s">
        <v>160</v>
      </c>
      <c r="H12" s="61" t="s">
        <v>161</v>
      </c>
      <c r="I12" s="64"/>
      <c r="J12" s="63"/>
      <c r="K12" s="64"/>
      <c r="L12" s="64">
        <f>SUM(J12:K12)</f>
        <v>0</v>
      </c>
      <c r="M12" s="64">
        <v>98466.23731941302</v>
      </c>
      <c r="N12" s="64">
        <v>109322</v>
      </c>
      <c r="O12" s="64">
        <v>107958.76443700958</v>
      </c>
      <c r="P12" s="64">
        <v>102880</v>
      </c>
      <c r="Q12" s="64">
        <v>82570</v>
      </c>
      <c r="R12" s="64">
        <v>88698.197097187993</v>
      </c>
      <c r="S12" s="63">
        <v>81467</v>
      </c>
      <c r="T12" s="63">
        <v>74291</v>
      </c>
      <c r="U12" s="63">
        <v>79239</v>
      </c>
      <c r="V12" s="63">
        <v>66465</v>
      </c>
      <c r="W12" s="63">
        <v>62412</v>
      </c>
      <c r="X12" s="63">
        <v>63082</v>
      </c>
      <c r="Y12" s="63">
        <v>53612.141988045507</v>
      </c>
      <c r="Z12" s="63">
        <v>48364</v>
      </c>
      <c r="AA12" s="64"/>
      <c r="AB12" s="65" t="s">
        <v>162</v>
      </c>
      <c r="AC12" s="107">
        <v>1468891.2</v>
      </c>
      <c r="AD12" s="95">
        <f t="shared" si="2"/>
        <v>1488807.72</v>
      </c>
      <c r="AE12" s="129">
        <v>40868.436215550842</v>
      </c>
      <c r="AF12" s="99">
        <f t="shared" si="3"/>
        <v>40642.159249456112</v>
      </c>
      <c r="AG12" s="104">
        <f t="shared" si="0"/>
        <v>2.7298460844531431E-2</v>
      </c>
      <c r="AH12" s="128">
        <v>44012.162078285524</v>
      </c>
      <c r="AI12" s="99">
        <f t="shared" si="4"/>
        <v>43768.479191721963</v>
      </c>
      <c r="AJ12" s="104">
        <f t="shared" si="1"/>
        <v>2.9398342447956922E-2</v>
      </c>
    </row>
    <row r="13" spans="1:36" s="58" customFormat="1" ht="15" customHeight="1">
      <c r="A13" s="45" t="s">
        <v>163</v>
      </c>
      <c r="B13" s="46" t="s">
        <v>164</v>
      </c>
      <c r="C13" s="114">
        <f>116463.35-3743.31</f>
        <v>112720.04000000001</v>
      </c>
      <c r="D13" s="105">
        <v>104491.72</v>
      </c>
      <c r="E13" s="50" t="e">
        <f>(#REF!-F13)</f>
        <v>#REF!</v>
      </c>
      <c r="F13" s="51">
        <f>'[1]10-11 for 12-13 Asmt'!AW13</f>
        <v>72572.639999999985</v>
      </c>
      <c r="G13" s="54"/>
      <c r="H13" s="54"/>
      <c r="I13" s="57"/>
      <c r="J13" s="56"/>
      <c r="K13" s="57"/>
      <c r="L13" s="57">
        <f>SUM(J13:K13)</f>
        <v>0</v>
      </c>
      <c r="M13" s="57">
        <v>11715.905088598338</v>
      </c>
      <c r="N13" s="57">
        <v>14502</v>
      </c>
      <c r="O13" s="57">
        <v>13630.029460085105</v>
      </c>
      <c r="P13" s="57">
        <v>10083</v>
      </c>
      <c r="Q13" s="57">
        <v>8687</v>
      </c>
      <c r="R13" s="57">
        <v>7943.7905687187595</v>
      </c>
      <c r="S13" s="56">
        <v>7832</v>
      </c>
      <c r="T13" s="56">
        <v>7889</v>
      </c>
      <c r="U13" s="56">
        <v>7625</v>
      </c>
      <c r="V13" s="56">
        <v>7726</v>
      </c>
      <c r="W13" s="56">
        <v>6866</v>
      </c>
      <c r="X13" s="56">
        <v>6026</v>
      </c>
      <c r="Y13" s="56">
        <v>6565.9668575960877</v>
      </c>
      <c r="Z13" s="56">
        <v>5429.9868625157842</v>
      </c>
      <c r="AA13" s="57"/>
      <c r="AB13" s="46" t="s">
        <v>164</v>
      </c>
      <c r="AC13" s="105">
        <v>101633.51</v>
      </c>
      <c r="AD13" s="95">
        <f t="shared" si="2"/>
        <v>106281.75666666667</v>
      </c>
      <c r="AE13" s="129">
        <v>2842.1668587119839</v>
      </c>
      <c r="AF13" s="99">
        <f t="shared" si="3"/>
        <v>2901.3283728530173</v>
      </c>
      <c r="AG13" s="104">
        <f t="shared" si="0"/>
        <v>2.7298460844531431E-2</v>
      </c>
      <c r="AH13" s="128">
        <v>3060.7950786129054</v>
      </c>
      <c r="AI13" s="99">
        <f t="shared" si="4"/>
        <v>3124.5074784570957</v>
      </c>
      <c r="AJ13" s="104">
        <f t="shared" si="1"/>
        <v>2.9398342447956926E-2</v>
      </c>
    </row>
    <row r="14" spans="1:36" s="58" customFormat="1" ht="15" customHeight="1">
      <c r="A14" s="45" t="s">
        <v>165</v>
      </c>
      <c r="B14" s="46" t="s">
        <v>166</v>
      </c>
      <c r="C14" s="114">
        <v>1310457.8899999999</v>
      </c>
      <c r="D14" s="105">
        <v>1316686.3500000001</v>
      </c>
      <c r="E14" s="50" t="e">
        <f>(#REF!-F14)</f>
        <v>#REF!</v>
      </c>
      <c r="F14" s="51">
        <f>'[1]10-11 for 12-13 Asmt'!AW14</f>
        <v>685869.16999999993</v>
      </c>
      <c r="G14" s="54" t="s">
        <v>168</v>
      </c>
      <c r="H14" s="54" t="s">
        <v>169</v>
      </c>
      <c r="I14" s="57"/>
      <c r="J14" s="56"/>
      <c r="K14" s="57"/>
      <c r="L14" s="57">
        <f>SUM(J14:K14)</f>
        <v>0</v>
      </c>
      <c r="M14" s="57">
        <v>101545.85676773894</v>
      </c>
      <c r="N14" s="57">
        <v>116511</v>
      </c>
      <c r="O14" s="57">
        <v>99467.733212686057</v>
      </c>
      <c r="P14" s="57">
        <v>64763</v>
      </c>
      <c r="Q14" s="57">
        <v>85912</v>
      </c>
      <c r="R14" s="57">
        <v>73807.785577032526</v>
      </c>
      <c r="S14" s="56">
        <v>86742</v>
      </c>
      <c r="T14" s="56">
        <v>68717</v>
      </c>
      <c r="U14" s="56">
        <v>60755</v>
      </c>
      <c r="V14" s="56">
        <v>64232</v>
      </c>
      <c r="W14" s="56">
        <v>50703</v>
      </c>
      <c r="X14" s="56">
        <v>45614</v>
      </c>
      <c r="Y14" s="56">
        <v>19198.980328194</v>
      </c>
      <c r="Z14" s="56">
        <v>23574.451447432588</v>
      </c>
      <c r="AA14" s="57"/>
      <c r="AB14" s="46" t="s">
        <v>166</v>
      </c>
      <c r="AC14" s="105">
        <v>1254835.44</v>
      </c>
      <c r="AD14" s="95">
        <f t="shared" si="2"/>
        <v>1293993.2266666668</v>
      </c>
      <c r="AE14" s="129">
        <v>34865.130818068305</v>
      </c>
      <c r="AF14" s="99">
        <f t="shared" si="3"/>
        <v>35324.023431248883</v>
      </c>
      <c r="AG14" s="104">
        <f t="shared" si="0"/>
        <v>2.7298460844531428E-2</v>
      </c>
      <c r="AH14" s="128">
        <v>37547.063957919709</v>
      </c>
      <c r="AI14" s="99">
        <f t="shared" si="4"/>
        <v>38041.256002883412</v>
      </c>
      <c r="AJ14" s="104">
        <f t="shared" si="1"/>
        <v>2.9398342447956922E-2</v>
      </c>
    </row>
    <row r="15" spans="1:36" ht="15" customHeight="1">
      <c r="A15" s="45" t="s">
        <v>170</v>
      </c>
      <c r="B15" s="46" t="s">
        <v>171</v>
      </c>
      <c r="C15" s="114">
        <v>45457.63</v>
      </c>
      <c r="D15" s="105">
        <v>34936.31</v>
      </c>
      <c r="E15" s="50" t="e">
        <f>(#REF!-F15)</f>
        <v>#REF!</v>
      </c>
      <c r="F15" s="51">
        <f>'[1]10-11 for 12-13 Asmt'!AW15</f>
        <v>36789.160000000003</v>
      </c>
      <c r="G15" s="107"/>
      <c r="H15" s="107"/>
      <c r="I15" s="62"/>
      <c r="J15" s="63"/>
      <c r="K15" s="62"/>
      <c r="L15" s="62">
        <v>1857</v>
      </c>
      <c r="M15" s="62">
        <v>1871.5845000000002</v>
      </c>
      <c r="N15" s="62">
        <v>1911</v>
      </c>
      <c r="O15" s="64">
        <v>1000</v>
      </c>
      <c r="P15" s="64">
        <v>1000</v>
      </c>
      <c r="Q15" s="64">
        <v>500</v>
      </c>
      <c r="R15" s="64">
        <v>1000</v>
      </c>
      <c r="S15" s="63">
        <v>500</v>
      </c>
      <c r="T15" s="63">
        <v>500</v>
      </c>
      <c r="U15" s="63">
        <v>500</v>
      </c>
      <c r="V15" s="63">
        <v>525</v>
      </c>
      <c r="W15" s="63">
        <v>556</v>
      </c>
      <c r="X15" s="63">
        <v>1068</v>
      </c>
      <c r="Y15" s="63">
        <v>1671.8480185382916</v>
      </c>
      <c r="Z15" s="63">
        <v>1000</v>
      </c>
      <c r="AA15" s="64"/>
      <c r="AB15" s="65" t="s">
        <v>171</v>
      </c>
      <c r="AC15" s="107">
        <v>33793.25</v>
      </c>
      <c r="AD15" s="95">
        <f t="shared" si="2"/>
        <v>38062.396666666667</v>
      </c>
      <c r="AE15" s="129">
        <v>926.05515674952846</v>
      </c>
      <c r="AF15" s="99">
        <f t="shared" si="3"/>
        <v>1039.0448450540237</v>
      </c>
      <c r="AG15" s="104">
        <f t="shared" si="0"/>
        <v>2.7298460844531431E-2</v>
      </c>
      <c r="AH15" s="128">
        <v>997.2901688071845</v>
      </c>
      <c r="AI15" s="99">
        <f t="shared" si="4"/>
        <v>1118.9713715966409</v>
      </c>
      <c r="AJ15" s="104">
        <f t="shared" si="1"/>
        <v>2.9398342447956926E-2</v>
      </c>
    </row>
    <row r="16" spans="1:36" ht="15" customHeight="1">
      <c r="A16" s="45" t="s">
        <v>172</v>
      </c>
      <c r="B16" s="46" t="s">
        <v>136</v>
      </c>
      <c r="C16" s="114">
        <v>1121379.99</v>
      </c>
      <c r="D16" s="105">
        <v>1062777.8700000001</v>
      </c>
      <c r="E16" s="50" t="e">
        <f>(#REF!-F16)</f>
        <v>#REF!</v>
      </c>
      <c r="F16" s="51">
        <f>'[1]10-11 for 12-13 Asmt'!AW16</f>
        <v>512233.03000000026</v>
      </c>
      <c r="G16" s="107"/>
      <c r="H16" s="61" t="s">
        <v>174</v>
      </c>
      <c r="I16" s="64"/>
      <c r="J16" s="63"/>
      <c r="K16" s="64"/>
      <c r="L16" s="64">
        <f>SUM(J16:K16)</f>
        <v>0</v>
      </c>
      <c r="M16" s="67">
        <v>77448</v>
      </c>
      <c r="N16" s="64">
        <v>79774</v>
      </c>
      <c r="O16" s="64">
        <v>72406.645657163579</v>
      </c>
      <c r="P16" s="64">
        <v>65560</v>
      </c>
      <c r="Q16" s="64">
        <v>51937</v>
      </c>
      <c r="R16" s="64">
        <v>55789.760753420938</v>
      </c>
      <c r="S16" s="63">
        <v>65892</v>
      </c>
      <c r="T16" s="63">
        <v>51639</v>
      </c>
      <c r="U16" s="63">
        <v>46960</v>
      </c>
      <c r="V16" s="63">
        <v>44521</v>
      </c>
      <c r="W16" s="63">
        <v>32817</v>
      </c>
      <c r="X16" s="63">
        <v>33541</v>
      </c>
      <c r="Y16" s="63">
        <v>31941.32359157156</v>
      </c>
      <c r="Z16" s="63">
        <v>35430.463689131931</v>
      </c>
      <c r="AA16" s="64"/>
      <c r="AB16" s="65" t="s">
        <v>136</v>
      </c>
      <c r="AC16" s="107">
        <v>1193740.43</v>
      </c>
      <c r="AD16" s="95">
        <f t="shared" si="2"/>
        <v>1125966.0966666667</v>
      </c>
      <c r="AE16" s="129">
        <v>30534.35720906837</v>
      </c>
      <c r="AF16" s="99">
        <f t="shared" si="3"/>
        <v>30737.141402124893</v>
      </c>
      <c r="AG16" s="104">
        <f t="shared" si="0"/>
        <v>2.7298460844531431E-2</v>
      </c>
      <c r="AH16" s="128">
        <v>32883.153917458243</v>
      </c>
      <c r="AI16" s="99">
        <f t="shared" si="4"/>
        <v>33101.536894596036</v>
      </c>
      <c r="AJ16" s="104">
        <f t="shared" si="1"/>
        <v>2.9398342447956922E-2</v>
      </c>
    </row>
    <row r="17" spans="1:183" s="58" customFormat="1" ht="15" customHeight="1">
      <c r="A17" s="45" t="s">
        <v>175</v>
      </c>
      <c r="B17" s="46" t="s">
        <v>176</v>
      </c>
      <c r="C17" s="114">
        <v>69152.62</v>
      </c>
      <c r="D17" s="105">
        <v>75356.05</v>
      </c>
      <c r="E17" s="50" t="e">
        <f>(#REF!-F17)</f>
        <v>#REF!</v>
      </c>
      <c r="F17" s="51">
        <f>'[1]10-11 for 12-13 Asmt'!AW17</f>
        <v>92964.69</v>
      </c>
      <c r="G17" s="54"/>
      <c r="H17" s="54" t="s">
        <v>178</v>
      </c>
      <c r="I17" s="57"/>
      <c r="J17" s="56"/>
      <c r="K17" s="57"/>
      <c r="L17" s="57">
        <f>SUM(J17:K17)</f>
        <v>0</v>
      </c>
      <c r="M17" s="57">
        <v>15368.105132745834</v>
      </c>
      <c r="N17" s="57">
        <v>13611</v>
      </c>
      <c r="O17" s="57">
        <v>11924.129474367288</v>
      </c>
      <c r="P17" s="57">
        <v>12452</v>
      </c>
      <c r="Q17" s="57">
        <v>11778</v>
      </c>
      <c r="R17" s="57">
        <v>13927.81805886242</v>
      </c>
      <c r="S17" s="56">
        <v>15458</v>
      </c>
      <c r="T17" s="56">
        <v>11992</v>
      </c>
      <c r="U17" s="56">
        <v>13160</v>
      </c>
      <c r="V17" s="56">
        <v>16246</v>
      </c>
      <c r="W17" s="56">
        <v>13420</v>
      </c>
      <c r="X17" s="56">
        <v>21595</v>
      </c>
      <c r="Y17" s="56">
        <v>11528.29891873178</v>
      </c>
      <c r="Z17" s="56">
        <v>12745.14571584962</v>
      </c>
      <c r="AA17" s="57"/>
      <c r="AB17" s="46" t="s">
        <v>179</v>
      </c>
      <c r="AC17" s="105">
        <v>88566.76</v>
      </c>
      <c r="AD17" s="95">
        <f t="shared" si="2"/>
        <v>77691.81</v>
      </c>
      <c r="AE17" s="129">
        <v>2310.0294068353128</v>
      </c>
      <c r="AF17" s="99">
        <f t="shared" si="3"/>
        <v>2120.8668332257753</v>
      </c>
      <c r="AG17" s="104">
        <f t="shared" si="0"/>
        <v>2.7298460844531431E-2</v>
      </c>
      <c r="AH17" s="128">
        <v>2487.7239765918753</v>
      </c>
      <c r="AI17" s="99">
        <f t="shared" si="4"/>
        <v>2284.010435781604</v>
      </c>
      <c r="AJ17" s="104">
        <f t="shared" si="1"/>
        <v>2.9398342447956922E-2</v>
      </c>
    </row>
    <row r="18" spans="1:183" ht="15" customHeight="1">
      <c r="A18" s="45" t="s">
        <v>175</v>
      </c>
      <c r="B18" s="46" t="s">
        <v>180</v>
      </c>
      <c r="C18" s="114">
        <v>163286.75</v>
      </c>
      <c r="D18" s="105">
        <v>180588.25</v>
      </c>
      <c r="E18" s="50" t="e">
        <f>(#REF!-F18)</f>
        <v>#REF!</v>
      </c>
      <c r="F18" s="51">
        <f>'[1]10-11 for 12-13 Asmt'!AW18</f>
        <v>126355.13</v>
      </c>
      <c r="G18" s="107"/>
      <c r="H18" s="107"/>
      <c r="I18" s="64"/>
      <c r="J18" s="63"/>
      <c r="K18" s="64"/>
      <c r="L18" s="64">
        <f>SUM(J18:K18)</f>
        <v>0</v>
      </c>
      <c r="M18" s="64">
        <v>20451.820638794758</v>
      </c>
      <c r="N18" s="64">
        <v>23760</v>
      </c>
      <c r="O18" s="64">
        <v>22545.891834711681</v>
      </c>
      <c r="P18" s="64">
        <v>20883</v>
      </c>
      <c r="Q18" s="64">
        <v>18025</v>
      </c>
      <c r="R18" s="64">
        <v>18667.977092449437</v>
      </c>
      <c r="S18" s="63">
        <v>18022</v>
      </c>
      <c r="T18" s="63">
        <v>14393</v>
      </c>
      <c r="U18" s="63">
        <v>13219</v>
      </c>
      <c r="V18" s="63">
        <v>13671</v>
      </c>
      <c r="W18" s="63">
        <v>12619</v>
      </c>
      <c r="X18" s="63">
        <v>12534</v>
      </c>
      <c r="Y18" s="63">
        <v>10972.199636438938</v>
      </c>
      <c r="Z18" s="63">
        <v>10852.928872003837</v>
      </c>
      <c r="AA18" s="64"/>
      <c r="AB18" s="65" t="s">
        <v>180</v>
      </c>
      <c r="AC18" s="107">
        <v>164834.14000000001</v>
      </c>
      <c r="AD18" s="95">
        <f t="shared" si="2"/>
        <v>169569.71333333335</v>
      </c>
      <c r="AE18" s="129">
        <v>4583.4889662370315</v>
      </c>
      <c r="AF18" s="99">
        <f t="shared" si="3"/>
        <v>4628.9921798484193</v>
      </c>
      <c r="AG18" s="104">
        <f t="shared" si="0"/>
        <v>2.7298460844531428E-2</v>
      </c>
      <c r="AH18" s="128">
        <v>4936.0650405629567</v>
      </c>
      <c r="AI18" s="99">
        <f t="shared" si="4"/>
        <v>4985.0685013752209</v>
      </c>
      <c r="AJ18" s="104">
        <f t="shared" si="1"/>
        <v>2.9398342447956922E-2</v>
      </c>
    </row>
    <row r="19" spans="1:183" s="58" customFormat="1" ht="15" customHeight="1">
      <c r="A19" s="45" t="s">
        <v>182</v>
      </c>
      <c r="B19" s="46" t="s">
        <v>183</v>
      </c>
      <c r="C19" s="114">
        <v>0</v>
      </c>
      <c r="D19" s="105">
        <v>0</v>
      </c>
      <c r="E19" s="50" t="e">
        <f>(#REF!-F19)</f>
        <v>#REF!</v>
      </c>
      <c r="F19" s="51">
        <f>'[1]10-11 for 12-13 Asmt'!AW19</f>
        <v>3633.4199999999983</v>
      </c>
      <c r="G19" s="54"/>
      <c r="H19" s="54" t="s">
        <v>185</v>
      </c>
      <c r="I19" s="57"/>
      <c r="J19" s="56"/>
      <c r="K19" s="57"/>
      <c r="L19" s="57">
        <v>50</v>
      </c>
      <c r="M19" s="57">
        <v>50</v>
      </c>
      <c r="N19" s="57">
        <v>50</v>
      </c>
      <c r="O19" s="57">
        <v>50</v>
      </c>
      <c r="P19" s="57">
        <v>50</v>
      </c>
      <c r="Q19" s="57">
        <v>50</v>
      </c>
      <c r="R19" s="57">
        <v>100</v>
      </c>
      <c r="S19" s="56">
        <v>100</v>
      </c>
      <c r="T19" s="56">
        <v>100</v>
      </c>
      <c r="U19" s="56">
        <v>100</v>
      </c>
      <c r="V19" s="56">
        <v>110</v>
      </c>
      <c r="W19" s="56">
        <v>112</v>
      </c>
      <c r="X19" s="56">
        <v>100</v>
      </c>
      <c r="Y19" s="56">
        <v>120.63451327435267</v>
      </c>
      <c r="Z19" s="56">
        <v>56.988892955849465</v>
      </c>
      <c r="AA19" s="57"/>
      <c r="AB19" s="46" t="s">
        <v>183</v>
      </c>
      <c r="AC19" s="105">
        <v>3223.93</v>
      </c>
      <c r="AD19" s="95">
        <f t="shared" si="2"/>
        <v>1074.6433333333332</v>
      </c>
      <c r="AE19" s="129">
        <v>56.258114343785408</v>
      </c>
      <c r="AF19" s="99">
        <f t="shared" si="3"/>
        <v>29.336108956836732</v>
      </c>
      <c r="AG19" s="104">
        <f t="shared" si="0"/>
        <v>2.7298460844531428E-2</v>
      </c>
      <c r="AH19" s="128">
        <v>60.585661600999671</v>
      </c>
      <c r="AI19" s="99">
        <f t="shared" si="4"/>
        <v>31.59273272274725</v>
      </c>
      <c r="AJ19" s="104">
        <f t="shared" si="1"/>
        <v>2.9398342447956922E-2</v>
      </c>
    </row>
    <row r="20" spans="1:183" s="58" customFormat="1" ht="15" customHeight="1">
      <c r="A20" s="45" t="s">
        <v>186</v>
      </c>
      <c r="B20" s="46" t="s">
        <v>136</v>
      </c>
      <c r="C20" s="114">
        <v>1063473.8</v>
      </c>
      <c r="D20" s="105">
        <v>1072849.6299999999</v>
      </c>
      <c r="E20" s="50" t="e">
        <f>(#REF!-F20)</f>
        <v>#REF!</v>
      </c>
      <c r="F20" s="51">
        <f>'[1]10-11 for 12-13 Asmt'!AW20</f>
        <v>480242.65</v>
      </c>
      <c r="G20" s="54"/>
      <c r="H20" s="54" t="s">
        <v>188</v>
      </c>
      <c r="I20" s="57"/>
      <c r="J20" s="56"/>
      <c r="K20" s="57"/>
      <c r="L20" s="57">
        <f>SUM(J20:K20)</f>
        <v>0</v>
      </c>
      <c r="M20" s="57">
        <v>70260.562481583416</v>
      </c>
      <c r="N20" s="57">
        <v>75791</v>
      </c>
      <c r="O20" s="57">
        <v>67517.284164641358</v>
      </c>
      <c r="P20" s="57">
        <v>56273</v>
      </c>
      <c r="Q20" s="57">
        <v>58033</v>
      </c>
      <c r="R20" s="57">
        <v>56494.22735676603</v>
      </c>
      <c r="S20" s="56">
        <v>47930</v>
      </c>
      <c r="T20" s="56">
        <v>41956</v>
      </c>
      <c r="U20" s="56">
        <v>39491</v>
      </c>
      <c r="V20" s="56">
        <v>36718</v>
      </c>
      <c r="W20" s="56">
        <v>38242</v>
      </c>
      <c r="X20" s="56">
        <v>37008</v>
      </c>
      <c r="Y20" s="56">
        <v>35914.662924201803</v>
      </c>
      <c r="Z20" s="56">
        <v>23640.412164192156</v>
      </c>
      <c r="AA20" s="57"/>
      <c r="AB20" s="46" t="s">
        <v>138</v>
      </c>
      <c r="AC20" s="105">
        <v>1070210.69</v>
      </c>
      <c r="AD20" s="95">
        <f t="shared" si="2"/>
        <v>1068844.7066666665</v>
      </c>
      <c r="AE20" s="129">
        <v>29463.744960005017</v>
      </c>
      <c r="AF20" s="99">
        <f t="shared" si="3"/>
        <v>29177.815373824676</v>
      </c>
      <c r="AG20" s="104">
        <f t="shared" si="0"/>
        <v>2.7298460844531428E-2</v>
      </c>
      <c r="AH20" s="128">
        <v>31730.186880005404</v>
      </c>
      <c r="AI20" s="99">
        <f t="shared" si="4"/>
        <v>31422.262710272731</v>
      </c>
      <c r="AJ20" s="104">
        <f t="shared" si="1"/>
        <v>2.9398342447956926E-2</v>
      </c>
    </row>
    <row r="21" spans="1:183" s="58" customFormat="1" ht="15" customHeight="1">
      <c r="A21" s="45" t="s">
        <v>189</v>
      </c>
      <c r="B21" s="46" t="s">
        <v>136</v>
      </c>
      <c r="C21" s="114">
        <v>449387.49</v>
      </c>
      <c r="D21" s="105">
        <v>446870.46</v>
      </c>
      <c r="E21" s="50" t="e">
        <f>(#REF!-F21)</f>
        <v>#REF!</v>
      </c>
      <c r="F21" s="51">
        <f>'[1]10-11 for 12-13 Asmt'!AW21</f>
        <v>214514.40999999992</v>
      </c>
      <c r="G21" s="54"/>
      <c r="H21" s="54" t="s">
        <v>191</v>
      </c>
      <c r="I21" s="57"/>
      <c r="J21" s="56"/>
      <c r="K21" s="57"/>
      <c r="L21" s="57">
        <f>SUM(J21:K21)</f>
        <v>0</v>
      </c>
      <c r="M21" s="57">
        <v>44142.682936564539</v>
      </c>
      <c r="N21" s="57">
        <v>49970</v>
      </c>
      <c r="O21" s="57">
        <v>39923.378989567551</v>
      </c>
      <c r="P21" s="57">
        <v>36180</v>
      </c>
      <c r="Q21" s="57">
        <v>25213</v>
      </c>
      <c r="R21" s="57">
        <v>30565.012519560139</v>
      </c>
      <c r="S21" s="56">
        <v>34070</v>
      </c>
      <c r="T21" s="56">
        <v>29704</v>
      </c>
      <c r="U21" s="56">
        <v>30655</v>
      </c>
      <c r="V21" s="56">
        <v>24497</v>
      </c>
      <c r="W21" s="56">
        <v>23733</v>
      </c>
      <c r="X21" s="56">
        <v>19918</v>
      </c>
      <c r="Y21" s="56">
        <v>20786.984285732582</v>
      </c>
      <c r="Z21" s="56">
        <v>16896.696494476924</v>
      </c>
      <c r="AA21" s="57"/>
      <c r="AB21" s="46" t="s">
        <v>136</v>
      </c>
      <c r="AC21" s="105">
        <v>384653.22000000003</v>
      </c>
      <c r="AD21" s="95">
        <f t="shared" si="2"/>
        <v>426970.38999999996</v>
      </c>
      <c r="AE21" s="129">
        <v>11326.266653506087</v>
      </c>
      <c r="AF21" s="99">
        <f t="shared" si="3"/>
        <v>11655.634473189313</v>
      </c>
      <c r="AG21" s="104">
        <f t="shared" si="0"/>
        <v>2.7298460844531431E-2</v>
      </c>
      <c r="AH21" s="128">
        <v>12197.517934545016</v>
      </c>
      <c r="AI21" s="99">
        <f t="shared" si="4"/>
        <v>12552.221740357722</v>
      </c>
      <c r="AJ21" s="104">
        <f t="shared" si="1"/>
        <v>2.9398342447956926E-2</v>
      </c>
    </row>
    <row r="22" spans="1:183" ht="15" customHeight="1">
      <c r="A22" s="45" t="s">
        <v>192</v>
      </c>
      <c r="B22" s="46" t="s">
        <v>193</v>
      </c>
      <c r="C22" s="114">
        <v>40473.18</v>
      </c>
      <c r="D22" s="105">
        <v>38633</v>
      </c>
      <c r="E22" s="50" t="e">
        <f>(#REF!-F22)</f>
        <v>#REF!</v>
      </c>
      <c r="F22" s="51">
        <f>'[1]10-11 for 12-13 Asmt'!AW22</f>
        <v>34385.039999999994</v>
      </c>
      <c r="G22" s="61"/>
      <c r="H22" s="61" t="s">
        <v>195</v>
      </c>
      <c r="I22" s="62"/>
      <c r="J22" s="63"/>
      <c r="K22" s="62"/>
      <c r="L22" s="62">
        <v>1837</v>
      </c>
      <c r="M22" s="62">
        <v>1697.6655000000001</v>
      </c>
      <c r="N22" s="62">
        <v>2404</v>
      </c>
      <c r="O22" s="64">
        <v>500</v>
      </c>
      <c r="P22" s="64">
        <v>5403</v>
      </c>
      <c r="Q22" s="64">
        <v>3500</v>
      </c>
      <c r="R22" s="64">
        <v>1750</v>
      </c>
      <c r="S22" s="63">
        <v>1750</v>
      </c>
      <c r="T22" s="63">
        <v>1000</v>
      </c>
      <c r="U22" s="63">
        <v>1000</v>
      </c>
      <c r="V22" s="63">
        <v>1100</v>
      </c>
      <c r="W22" s="63">
        <v>1091</v>
      </c>
      <c r="X22" s="63">
        <v>1089</v>
      </c>
      <c r="Y22" s="63">
        <v>3255.8898516959321</v>
      </c>
      <c r="Z22" s="63">
        <v>3876.3007516927632</v>
      </c>
      <c r="AA22" s="64"/>
      <c r="AB22" s="65" t="s">
        <v>193</v>
      </c>
      <c r="AC22" s="107">
        <v>42676.75</v>
      </c>
      <c r="AD22" s="95">
        <f t="shared" si="2"/>
        <v>40594.31</v>
      </c>
      <c r="AE22" s="129">
        <v>1111.3140035304759</v>
      </c>
      <c r="AF22" s="99">
        <f t="shared" si="3"/>
        <v>1108.1621820457706</v>
      </c>
      <c r="AG22" s="104">
        <f t="shared" si="0"/>
        <v>2.7298460844531428E-2</v>
      </c>
      <c r="AH22" s="128">
        <v>1196.7996961097433</v>
      </c>
      <c r="AI22" s="99">
        <f t="shared" si="4"/>
        <v>1193.4054268185221</v>
      </c>
      <c r="AJ22" s="104">
        <f t="shared" si="1"/>
        <v>2.9398342447956922E-2</v>
      </c>
    </row>
    <row r="23" spans="1:183" ht="15" customHeight="1">
      <c r="A23" s="45" t="s">
        <v>196</v>
      </c>
      <c r="B23" s="46" t="s">
        <v>197</v>
      </c>
      <c r="C23" s="114">
        <v>101101</v>
      </c>
      <c r="D23" s="105">
        <v>92722.37</v>
      </c>
      <c r="E23" s="50" t="e">
        <f>(#REF!-F23)</f>
        <v>#REF!</v>
      </c>
      <c r="F23" s="51">
        <f>'[1]10-11 for 12-13 Asmt'!AW23</f>
        <v>105660.76999999999</v>
      </c>
      <c r="G23" s="61"/>
      <c r="H23" s="61" t="s">
        <v>198</v>
      </c>
      <c r="I23" s="64"/>
      <c r="J23" s="63"/>
      <c r="K23" s="64"/>
      <c r="L23" s="64">
        <f t="shared" ref="L23:L28" si="5">SUM(J23:K23)</f>
        <v>0</v>
      </c>
      <c r="M23" s="64">
        <v>18902.81449959895</v>
      </c>
      <c r="N23" s="64">
        <v>17767</v>
      </c>
      <c r="O23" s="64">
        <v>16510.605248453914</v>
      </c>
      <c r="P23" s="64">
        <v>18187</v>
      </c>
      <c r="Q23" s="64">
        <v>18116</v>
      </c>
      <c r="R23" s="64">
        <v>15658.434993602299</v>
      </c>
      <c r="S23" s="63">
        <v>13936</v>
      </c>
      <c r="T23" s="63">
        <v>13513</v>
      </c>
      <c r="U23" s="63">
        <v>11926</v>
      </c>
      <c r="V23" s="63">
        <v>8329</v>
      </c>
      <c r="W23" s="63">
        <v>8263</v>
      </c>
      <c r="X23" s="63">
        <v>6595</v>
      </c>
      <c r="Y23" s="63">
        <v>6205.3213107096226</v>
      </c>
      <c r="Z23" s="63">
        <v>7262.897377498809</v>
      </c>
      <c r="AA23" s="64"/>
      <c r="AB23" s="65" t="s">
        <v>197</v>
      </c>
      <c r="AC23" s="107">
        <v>95232.85</v>
      </c>
      <c r="AD23" s="95">
        <f t="shared" si="2"/>
        <v>96352.073333333319</v>
      </c>
      <c r="AE23" s="129">
        <v>2534.9890052396322</v>
      </c>
      <c r="AF23" s="99">
        <f t="shared" si="3"/>
        <v>2630.2633011794205</v>
      </c>
      <c r="AG23" s="104">
        <f t="shared" si="0"/>
        <v>2.7298460844531431E-2</v>
      </c>
      <c r="AH23" s="128">
        <v>2729.9881594888348</v>
      </c>
      <c r="AI23" s="99">
        <f t="shared" si="4"/>
        <v>2832.5912474239917</v>
      </c>
      <c r="AJ23" s="104">
        <f t="shared" si="1"/>
        <v>2.9398342447956929E-2</v>
      </c>
    </row>
    <row r="24" spans="1:183" s="58" customFormat="1" ht="15" customHeight="1">
      <c r="A24" s="45" t="s">
        <v>199</v>
      </c>
      <c r="B24" s="46" t="s">
        <v>200</v>
      </c>
      <c r="C24" s="114">
        <f>38854.14-860</f>
        <v>37994.14</v>
      </c>
      <c r="D24" s="105">
        <v>32627</v>
      </c>
      <c r="E24" s="50" t="e">
        <f>(#REF!-F24)</f>
        <v>#REF!</v>
      </c>
      <c r="F24" s="51">
        <f>'[1]10-11 for 12-13 Asmt'!AW24</f>
        <v>39963.629999999997</v>
      </c>
      <c r="G24" s="54"/>
      <c r="H24" s="54"/>
      <c r="I24" s="57"/>
      <c r="J24" s="56"/>
      <c r="K24" s="57"/>
      <c r="L24" s="57">
        <f t="shared" si="5"/>
        <v>0</v>
      </c>
      <c r="M24" s="57">
        <v>1996.0610000000001</v>
      </c>
      <c r="N24" s="57">
        <v>1792</v>
      </c>
      <c r="O24" s="57">
        <v>1000</v>
      </c>
      <c r="P24" s="57">
        <v>8160</v>
      </c>
      <c r="Q24" s="57">
        <v>8397</v>
      </c>
      <c r="R24" s="57">
        <v>5892.0835284464792</v>
      </c>
      <c r="S24" s="56">
        <v>6315</v>
      </c>
      <c r="T24" s="56">
        <v>4400</v>
      </c>
      <c r="U24" s="56">
        <v>2200</v>
      </c>
      <c r="V24" s="56">
        <v>1098</v>
      </c>
      <c r="W24" s="56">
        <v>5901</v>
      </c>
      <c r="X24" s="56">
        <v>7600</v>
      </c>
      <c r="Y24" s="56">
        <v>6597.9417670166758</v>
      </c>
      <c r="Z24" s="56">
        <v>6514.0537145599465</v>
      </c>
      <c r="AA24" s="57"/>
      <c r="AB24" s="46" t="s">
        <v>200</v>
      </c>
      <c r="AC24" s="105">
        <v>38537.410000000003</v>
      </c>
      <c r="AD24" s="95">
        <f t="shared" si="2"/>
        <v>36386.183333333334</v>
      </c>
      <c r="AE24" s="129">
        <v>1042.5863856809387</v>
      </c>
      <c r="AF24" s="99">
        <f t="shared" si="3"/>
        <v>993.28680100694214</v>
      </c>
      <c r="AG24" s="104">
        <f t="shared" si="0"/>
        <v>2.7298460844531431E-2</v>
      </c>
      <c r="AH24" s="128">
        <v>1122.7853384256264</v>
      </c>
      <c r="AI24" s="99">
        <f t="shared" si="4"/>
        <v>1069.6934780074762</v>
      </c>
      <c r="AJ24" s="104">
        <f t="shared" si="1"/>
        <v>2.9398342447956926E-2</v>
      </c>
    </row>
    <row r="25" spans="1:183" s="58" customFormat="1" ht="15" customHeight="1">
      <c r="A25" s="45" t="s">
        <v>199</v>
      </c>
      <c r="B25" s="46" t="s">
        <v>202</v>
      </c>
      <c r="C25" s="114">
        <v>172953.9</v>
      </c>
      <c r="D25" s="105">
        <v>163276.93</v>
      </c>
      <c r="E25" s="50" t="e">
        <f>(#REF!-F25)</f>
        <v>#REF!</v>
      </c>
      <c r="F25" s="51">
        <f>'[1]10-11 for 12-13 Asmt'!AW25</f>
        <v>167946.73</v>
      </c>
      <c r="G25" s="54" t="s">
        <v>203</v>
      </c>
      <c r="H25" s="54"/>
      <c r="I25" s="57"/>
      <c r="J25" s="56"/>
      <c r="K25" s="57"/>
      <c r="L25" s="57">
        <f t="shared" si="5"/>
        <v>0</v>
      </c>
      <c r="M25" s="57">
        <v>24887.419809599836</v>
      </c>
      <c r="N25" s="57">
        <v>26995</v>
      </c>
      <c r="O25" s="57">
        <v>26968.817419172559</v>
      </c>
      <c r="P25" s="57">
        <v>27001</v>
      </c>
      <c r="Q25" s="57">
        <v>21680</v>
      </c>
      <c r="R25" s="57">
        <v>26720.235686694057</v>
      </c>
      <c r="S25" s="56">
        <v>26428</v>
      </c>
      <c r="T25" s="56">
        <v>19514</v>
      </c>
      <c r="U25" s="56">
        <v>22115</v>
      </c>
      <c r="V25" s="56">
        <v>17820</v>
      </c>
      <c r="W25" s="56">
        <v>15963</v>
      </c>
      <c r="X25" s="56">
        <v>17024</v>
      </c>
      <c r="Y25" s="56">
        <v>15001.828926715798</v>
      </c>
      <c r="Z25" s="56">
        <v>15718.925617474719</v>
      </c>
      <c r="AA25" s="57"/>
      <c r="AB25" s="46" t="s">
        <v>202</v>
      </c>
      <c r="AC25" s="105">
        <v>165119.94</v>
      </c>
      <c r="AD25" s="95">
        <f t="shared" si="2"/>
        <v>167116.92333333331</v>
      </c>
      <c r="AE25" s="129">
        <v>4616.6268698802378</v>
      </c>
      <c r="AF25" s="99">
        <f t="shared" si="3"/>
        <v>4562.0347880735599</v>
      </c>
      <c r="AG25" s="104">
        <f t="shared" si="0"/>
        <v>2.7298460844531428E-2</v>
      </c>
      <c r="AH25" s="128">
        <v>4971.7520137171796</v>
      </c>
      <c r="AI25" s="99">
        <f t="shared" si="4"/>
        <v>4912.9605410022959</v>
      </c>
      <c r="AJ25" s="104">
        <f t="shared" si="1"/>
        <v>2.9398342447956926E-2</v>
      </c>
    </row>
    <row r="26" spans="1:183" s="58" customFormat="1" ht="15" customHeight="1">
      <c r="A26" s="45" t="s">
        <v>199</v>
      </c>
      <c r="B26" s="46" t="s">
        <v>204</v>
      </c>
      <c r="C26" s="114">
        <v>107396.89</v>
      </c>
      <c r="D26" s="105">
        <v>101624.69</v>
      </c>
      <c r="E26" s="50" t="e">
        <f>(#REF!-F26)</f>
        <v>#REF!</v>
      </c>
      <c r="F26" s="51">
        <f>'[1]10-11 for 12-13 Asmt'!AW26</f>
        <v>84456.62</v>
      </c>
      <c r="G26" s="54" t="s">
        <v>206</v>
      </c>
      <c r="H26" s="105" t="s">
        <v>207</v>
      </c>
      <c r="I26" s="57"/>
      <c r="J26" s="56"/>
      <c r="K26" s="57"/>
      <c r="L26" s="57">
        <f t="shared" si="5"/>
        <v>0</v>
      </c>
      <c r="M26" s="57">
        <v>10919.911210982984</v>
      </c>
      <c r="N26" s="57">
        <v>13738</v>
      </c>
      <c r="O26" s="57">
        <v>13632.240926975679</v>
      </c>
      <c r="P26" s="57">
        <v>11134</v>
      </c>
      <c r="Q26" s="57">
        <v>9507</v>
      </c>
      <c r="R26" s="57">
        <v>10282.6805616889</v>
      </c>
      <c r="S26" s="56">
        <v>8737</v>
      </c>
      <c r="T26" s="56">
        <v>8815</v>
      </c>
      <c r="U26" s="56">
        <v>7966</v>
      </c>
      <c r="V26" s="56">
        <v>7914</v>
      </c>
      <c r="W26" s="56">
        <v>8436</v>
      </c>
      <c r="X26" s="56">
        <v>7035</v>
      </c>
      <c r="Y26" s="56">
        <v>5695.9755879956874</v>
      </c>
      <c r="Z26" s="56">
        <v>6025.1330544229404</v>
      </c>
      <c r="AA26" s="57"/>
      <c r="AB26" s="46" t="s">
        <v>204</v>
      </c>
      <c r="AC26" s="105">
        <v>121862.95</v>
      </c>
      <c r="AD26" s="95">
        <f t="shared" si="2"/>
        <v>110294.84333333334</v>
      </c>
      <c r="AE26" s="129">
        <v>2922.852305089672</v>
      </c>
      <c r="AF26" s="99">
        <f t="shared" si="3"/>
        <v>3010.8794620887288</v>
      </c>
      <c r="AG26" s="104">
        <f t="shared" si="0"/>
        <v>2.7298460844531431E-2</v>
      </c>
      <c r="AH26" s="128">
        <v>3147.687097788878</v>
      </c>
      <c r="AI26" s="99">
        <f t="shared" si="4"/>
        <v>3242.4855745570926</v>
      </c>
      <c r="AJ26" s="104">
        <f t="shared" si="1"/>
        <v>2.9398342447956926E-2</v>
      </c>
    </row>
    <row r="27" spans="1:183" s="58" customFormat="1" ht="15" customHeight="1">
      <c r="A27" s="45" t="s">
        <v>208</v>
      </c>
      <c r="B27" s="46" t="s">
        <v>209</v>
      </c>
      <c r="C27" s="114">
        <v>317875.52</v>
      </c>
      <c r="D27" s="105">
        <v>344660.7</v>
      </c>
      <c r="E27" s="50" t="e">
        <f>(#REF!-F27)</f>
        <v>#REF!</v>
      </c>
      <c r="F27" s="51">
        <f>'[1]10-11 for 12-13 Asmt'!AW27</f>
        <v>244603.73999999996</v>
      </c>
      <c r="G27" s="54"/>
      <c r="H27" s="54" t="s">
        <v>211</v>
      </c>
      <c r="I27" s="57"/>
      <c r="J27" s="56"/>
      <c r="K27" s="57"/>
      <c r="L27" s="57">
        <f t="shared" si="5"/>
        <v>0</v>
      </c>
      <c r="M27" s="57">
        <v>26585.386340171706</v>
      </c>
      <c r="N27" s="57">
        <v>18565</v>
      </c>
      <c r="O27" s="57">
        <v>23146.417390152255</v>
      </c>
      <c r="P27" s="57">
        <v>22430</v>
      </c>
      <c r="Q27" s="57">
        <v>17981</v>
      </c>
      <c r="R27" s="57">
        <v>22325.222604460356</v>
      </c>
      <c r="S27" s="56">
        <v>20632</v>
      </c>
      <c r="T27" s="56">
        <v>20551</v>
      </c>
      <c r="U27" s="56">
        <v>19955</v>
      </c>
      <c r="V27" s="56">
        <v>21143</v>
      </c>
      <c r="W27" s="56">
        <v>17530</v>
      </c>
      <c r="X27" s="56">
        <v>19532</v>
      </c>
      <c r="Y27" s="56">
        <v>16345.928589999787</v>
      </c>
      <c r="Z27" s="56">
        <v>14275.500267356036</v>
      </c>
      <c r="AA27" s="57"/>
      <c r="AB27" s="46" t="s">
        <v>212</v>
      </c>
      <c r="AC27" s="105">
        <v>313935.99</v>
      </c>
      <c r="AD27" s="95">
        <f t="shared" si="2"/>
        <v>325490.73666666663</v>
      </c>
      <c r="AE27" s="129">
        <v>8646.7551847410396</v>
      </c>
      <c r="AF27" s="99">
        <f t="shared" si="3"/>
        <v>8885.3961301526906</v>
      </c>
      <c r="AG27" s="104">
        <f t="shared" si="0"/>
        <v>2.7298460844531431E-2</v>
      </c>
      <c r="AH27" s="128">
        <v>9311.890198951889</v>
      </c>
      <c r="AI27" s="99">
        <f t="shared" si="4"/>
        <v>9568.8881401644358</v>
      </c>
      <c r="AJ27" s="104">
        <f t="shared" si="1"/>
        <v>2.9398342447956926E-2</v>
      </c>
    </row>
    <row r="28" spans="1:183" ht="15" customHeight="1">
      <c r="A28" s="45" t="s">
        <v>213</v>
      </c>
      <c r="B28" s="46" t="s">
        <v>214</v>
      </c>
      <c r="C28" s="114">
        <v>162746.85999999999</v>
      </c>
      <c r="D28" s="105">
        <v>170714.84</v>
      </c>
      <c r="E28" s="50" t="e">
        <f>(#REF!-F28)</f>
        <v>#REF!</v>
      </c>
      <c r="F28" s="51">
        <f>'[1]10-11 for 12-13 Asmt'!AW28</f>
        <v>127042.29000000001</v>
      </c>
      <c r="G28" s="107"/>
      <c r="H28" s="107"/>
      <c r="I28" s="64"/>
      <c r="J28" s="63"/>
      <c r="K28" s="64"/>
      <c r="L28" s="64">
        <f t="shared" si="5"/>
        <v>0</v>
      </c>
      <c r="M28" s="64">
        <v>14028.478926717184</v>
      </c>
      <c r="N28" s="64">
        <v>12035</v>
      </c>
      <c r="O28" s="64">
        <v>13676.768624293551</v>
      </c>
      <c r="P28" s="64">
        <v>10557</v>
      </c>
      <c r="Q28" s="64">
        <v>8878</v>
      </c>
      <c r="R28" s="64">
        <v>9694.2137658619176</v>
      </c>
      <c r="S28" s="63">
        <v>10209</v>
      </c>
      <c r="T28" s="63">
        <v>9487</v>
      </c>
      <c r="U28" s="63">
        <v>7354</v>
      </c>
      <c r="V28" s="63">
        <v>6748</v>
      </c>
      <c r="W28" s="63">
        <v>4579</v>
      </c>
      <c r="X28" s="63">
        <v>5492</v>
      </c>
      <c r="Y28" s="63">
        <v>4817.8596269660957</v>
      </c>
      <c r="Z28" s="63">
        <v>4144.7467969465642</v>
      </c>
      <c r="AA28" s="64"/>
      <c r="AB28" s="65" t="s">
        <v>216</v>
      </c>
      <c r="AC28" s="107">
        <v>158157.45000000001</v>
      </c>
      <c r="AD28" s="95">
        <f t="shared" si="2"/>
        <v>163873.04999999999</v>
      </c>
      <c r="AE28" s="129">
        <v>4356.9076324137222</v>
      </c>
      <c r="AF28" s="99">
        <f t="shared" si="3"/>
        <v>4473.482038898941</v>
      </c>
      <c r="AG28" s="104">
        <f t="shared" si="0"/>
        <v>2.7298460844531431E-2</v>
      </c>
      <c r="AH28" s="128">
        <v>4692.0543733686236</v>
      </c>
      <c r="AI28" s="99">
        <f t="shared" si="4"/>
        <v>4817.5960418911673</v>
      </c>
      <c r="AJ28" s="104">
        <f t="shared" si="1"/>
        <v>2.9398342447956926E-2</v>
      </c>
    </row>
    <row r="29" spans="1:183" ht="15" customHeight="1">
      <c r="A29" s="45" t="s">
        <v>217</v>
      </c>
      <c r="B29" s="46" t="s">
        <v>218</v>
      </c>
      <c r="C29" s="114">
        <v>53455.16</v>
      </c>
      <c r="D29" s="105">
        <v>50158.18</v>
      </c>
      <c r="E29" s="50" t="e">
        <f>(#REF!-F29)</f>
        <v>#REF!</v>
      </c>
      <c r="F29" s="51">
        <f>'[1]10-11 for 12-13 Asmt'!AW29</f>
        <v>71828.09</v>
      </c>
      <c r="G29" s="61"/>
      <c r="H29" s="61"/>
      <c r="I29" s="62"/>
      <c r="J29" s="63"/>
      <c r="K29" s="62"/>
      <c r="L29" s="62">
        <v>1992</v>
      </c>
      <c r="M29" s="62">
        <v>2093.3869999999997</v>
      </c>
      <c r="N29" s="62">
        <v>1803</v>
      </c>
      <c r="O29" s="64">
        <v>1000</v>
      </c>
      <c r="P29" s="64">
        <v>750</v>
      </c>
      <c r="Q29" s="64">
        <v>750</v>
      </c>
      <c r="R29" s="64">
        <v>1500</v>
      </c>
      <c r="S29" s="63">
        <v>1500</v>
      </c>
      <c r="T29" s="63">
        <v>2000</v>
      </c>
      <c r="U29" s="63">
        <v>1000</v>
      </c>
      <c r="V29" s="63">
        <v>1100</v>
      </c>
      <c r="W29" s="63">
        <v>5205</v>
      </c>
      <c r="X29" s="63">
        <v>4335</v>
      </c>
      <c r="Y29" s="63">
        <v>3207.3323081111776</v>
      </c>
      <c r="Z29" s="63">
        <v>3427.485170830962</v>
      </c>
      <c r="AA29" s="64"/>
      <c r="AB29" s="65" t="s">
        <v>218</v>
      </c>
      <c r="AC29" s="107">
        <v>54682.18</v>
      </c>
      <c r="AD29" s="95">
        <f t="shared" si="2"/>
        <v>52765.173333333332</v>
      </c>
      <c r="AE29" s="129">
        <v>1416.6602249543316</v>
      </c>
      <c r="AF29" s="99">
        <f t="shared" si="3"/>
        <v>1440.4080181949141</v>
      </c>
      <c r="AG29" s="104">
        <f t="shared" si="0"/>
        <v>2.7298460844531434E-2</v>
      </c>
      <c r="AH29" s="128">
        <v>1525.6340884123572</v>
      </c>
      <c r="AI29" s="99">
        <f t="shared" si="4"/>
        <v>1551.2086349791382</v>
      </c>
      <c r="AJ29" s="104">
        <f t="shared" si="1"/>
        <v>2.9398342447956926E-2</v>
      </c>
    </row>
    <row r="30" spans="1:183" s="58" customFormat="1" ht="15" customHeight="1">
      <c r="A30" s="45" t="s">
        <v>220</v>
      </c>
      <c r="B30" s="46" t="s">
        <v>221</v>
      </c>
      <c r="C30" s="114">
        <v>416739.43</v>
      </c>
      <c r="D30" s="105">
        <v>409733.04</v>
      </c>
      <c r="E30" s="50" t="e">
        <f>(#REF!-F30)</f>
        <v>#REF!</v>
      </c>
      <c r="F30" s="51">
        <f>'[1]10-11 for 12-13 Asmt'!AW30</f>
        <v>283438.53999999998</v>
      </c>
      <c r="G30" s="54" t="s">
        <v>222</v>
      </c>
      <c r="H30" s="54" t="s">
        <v>223</v>
      </c>
      <c r="I30" s="57"/>
      <c r="J30" s="56"/>
      <c r="K30" s="57"/>
      <c r="L30" s="57">
        <f t="shared" ref="L30:L52" si="6">SUM(J30:K30)</f>
        <v>0</v>
      </c>
      <c r="M30" s="57">
        <v>45882.300146282432</v>
      </c>
      <c r="N30" s="57">
        <v>46601</v>
      </c>
      <c r="O30" s="57">
        <v>44902.853249701337</v>
      </c>
      <c r="P30" s="57">
        <v>45327</v>
      </c>
      <c r="Q30" s="57">
        <v>35395</v>
      </c>
      <c r="R30" s="57">
        <v>39066.582112648328</v>
      </c>
      <c r="S30" s="56">
        <v>35060</v>
      </c>
      <c r="T30" s="56">
        <v>28721</v>
      </c>
      <c r="U30" s="56">
        <v>25949</v>
      </c>
      <c r="V30" s="56">
        <v>33597</v>
      </c>
      <c r="W30" s="56">
        <v>29103</v>
      </c>
      <c r="X30" s="56">
        <v>24629</v>
      </c>
      <c r="Y30" s="56">
        <v>27826.9992812411</v>
      </c>
      <c r="Z30" s="56">
        <v>30104.460987115275</v>
      </c>
      <c r="AA30" s="57"/>
      <c r="AB30" s="46" t="s">
        <v>224</v>
      </c>
      <c r="AC30" s="105">
        <v>432628.19</v>
      </c>
      <c r="AD30" s="95">
        <f t="shared" si="2"/>
        <v>419700.22</v>
      </c>
      <c r="AE30" s="129">
        <v>12168.306644270937</v>
      </c>
      <c r="AF30" s="99">
        <f t="shared" si="3"/>
        <v>11457.170022111226</v>
      </c>
      <c r="AG30" s="104">
        <f t="shared" si="0"/>
        <v>2.7298460844531431E-2</v>
      </c>
      <c r="AH30" s="128">
        <v>13104.330232291777</v>
      </c>
      <c r="AI30" s="99">
        <f t="shared" si="4"/>
        <v>12338.49079304286</v>
      </c>
      <c r="AJ30" s="104">
        <f t="shared" si="1"/>
        <v>2.9398342447956926E-2</v>
      </c>
    </row>
    <row r="31" spans="1:183" ht="15" customHeight="1">
      <c r="A31" s="45" t="s">
        <v>225</v>
      </c>
      <c r="B31" s="68" t="s">
        <v>226</v>
      </c>
      <c r="C31" s="114">
        <v>226258.33</v>
      </c>
      <c r="D31" s="105">
        <v>213804.78</v>
      </c>
      <c r="E31" s="50" t="e">
        <f>(#REF!-F31)</f>
        <v>#REF!</v>
      </c>
      <c r="F31" s="51">
        <f>'[1]10-11 for 12-13 Asmt'!AW31</f>
        <v>162052.58999999997</v>
      </c>
      <c r="G31" s="69" t="s">
        <v>228</v>
      </c>
      <c r="H31" s="61" t="s">
        <v>229</v>
      </c>
      <c r="I31" s="64"/>
      <c r="J31" s="63"/>
      <c r="K31" s="64"/>
      <c r="L31" s="64">
        <f t="shared" si="6"/>
        <v>0</v>
      </c>
      <c r="M31" s="64">
        <v>21666.950415323827</v>
      </c>
      <c r="N31" s="64">
        <v>19253</v>
      </c>
      <c r="O31" s="64">
        <v>14756.369383367219</v>
      </c>
      <c r="P31" s="64">
        <v>14430</v>
      </c>
      <c r="Q31" s="64">
        <v>15320</v>
      </c>
      <c r="R31" s="64">
        <v>17923.830435810378</v>
      </c>
      <c r="S31" s="63">
        <v>12553</v>
      </c>
      <c r="T31" s="63">
        <v>14904</v>
      </c>
      <c r="U31" s="63">
        <v>11993</v>
      </c>
      <c r="V31" s="63">
        <v>14657</v>
      </c>
      <c r="W31" s="63">
        <v>8654</v>
      </c>
      <c r="X31" s="63">
        <v>13909</v>
      </c>
      <c r="Y31" s="63">
        <v>12488.893963087949</v>
      </c>
      <c r="Z31" s="63">
        <v>10063.400770813038</v>
      </c>
      <c r="AA31" s="64"/>
      <c r="AB31" s="65" t="s">
        <v>230</v>
      </c>
      <c r="AC31" s="107">
        <v>207397.74</v>
      </c>
      <c r="AD31" s="95">
        <f t="shared" si="2"/>
        <v>215820.28333333333</v>
      </c>
      <c r="AE31" s="129">
        <v>5847.3740871546288</v>
      </c>
      <c r="AF31" s="99">
        <f t="shared" si="3"/>
        <v>5891.561554030679</v>
      </c>
      <c r="AG31" s="104">
        <f t="shared" si="0"/>
        <v>2.7298460844531431E-2</v>
      </c>
      <c r="AH31" s="128">
        <v>6297.1720938588314</v>
      </c>
      <c r="AI31" s="99">
        <f t="shared" si="4"/>
        <v>6344.7585966484239</v>
      </c>
      <c r="AJ31" s="104">
        <f t="shared" si="1"/>
        <v>2.9398342447956926E-2</v>
      </c>
    </row>
    <row r="32" spans="1:183" ht="15" customHeight="1">
      <c r="A32" s="45" t="s">
        <v>225</v>
      </c>
      <c r="B32" s="46" t="s">
        <v>231</v>
      </c>
      <c r="C32" s="114">
        <v>162141.73000000001</v>
      </c>
      <c r="D32" s="105">
        <v>167689.63</v>
      </c>
      <c r="E32" s="50" t="e">
        <f>(#REF!-F32)</f>
        <v>#REF!</v>
      </c>
      <c r="F32" s="51">
        <f>'[1]10-11 for 12-13 Asmt'!AW32</f>
        <v>97778.91</v>
      </c>
      <c r="G32" s="54"/>
      <c r="H32" s="61"/>
      <c r="I32" s="64"/>
      <c r="J32" s="63"/>
      <c r="K32" s="64"/>
      <c r="L32" s="64">
        <f t="shared" si="6"/>
        <v>0</v>
      </c>
      <c r="M32" s="64">
        <v>14011.104973308515</v>
      </c>
      <c r="N32" s="64">
        <v>15542</v>
      </c>
      <c r="O32" s="64">
        <v>16210.121160110779</v>
      </c>
      <c r="P32" s="64">
        <v>11830</v>
      </c>
      <c r="Q32" s="64">
        <v>10952</v>
      </c>
      <c r="R32" s="64">
        <v>13478.499207869141</v>
      </c>
      <c r="S32" s="63">
        <v>12813</v>
      </c>
      <c r="T32" s="63">
        <v>10627</v>
      </c>
      <c r="U32" s="63">
        <v>10420</v>
      </c>
      <c r="V32" s="63">
        <v>9799</v>
      </c>
      <c r="W32" s="63">
        <v>8526</v>
      </c>
      <c r="X32" s="63">
        <v>8184</v>
      </c>
      <c r="Y32" s="63">
        <v>3485.7311867883827</v>
      </c>
      <c r="Z32" s="63">
        <v>4820.7370193699153</v>
      </c>
      <c r="AA32" s="64"/>
      <c r="AB32" s="70" t="s">
        <v>234</v>
      </c>
      <c r="AC32" s="107">
        <v>187762.58</v>
      </c>
      <c r="AD32" s="95">
        <f t="shared" si="2"/>
        <v>172531.31333333332</v>
      </c>
      <c r="AE32" s="129">
        <v>4984.2923517415074</v>
      </c>
      <c r="AF32" s="99">
        <f t="shared" si="3"/>
        <v>4709.8393014855828</v>
      </c>
      <c r="AG32" s="104">
        <f t="shared" si="0"/>
        <v>2.7298460844531428E-2</v>
      </c>
      <c r="AH32" s="128">
        <v>5367.6994557216231</v>
      </c>
      <c r="AI32" s="99">
        <f t="shared" si="4"/>
        <v>5072.1346323690896</v>
      </c>
      <c r="AJ32" s="104">
        <f t="shared" si="1"/>
        <v>2.9398342447956926E-2</v>
      </c>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1"/>
      <c r="ET32" s="71"/>
      <c r="EU32" s="71"/>
      <c r="EV32" s="71"/>
      <c r="EW32" s="71"/>
      <c r="EX32" s="71"/>
      <c r="EY32" s="71"/>
      <c r="EZ32" s="71"/>
      <c r="FA32" s="71"/>
      <c r="FB32" s="71"/>
      <c r="FC32" s="71"/>
      <c r="FD32" s="71"/>
      <c r="FE32" s="71"/>
      <c r="FF32" s="71"/>
      <c r="FG32" s="71"/>
      <c r="FH32" s="71"/>
      <c r="FI32" s="71"/>
      <c r="FJ32" s="71"/>
      <c r="FK32" s="71"/>
      <c r="FL32" s="71"/>
      <c r="FM32" s="71"/>
      <c r="FN32" s="71"/>
      <c r="FO32" s="71"/>
      <c r="FP32" s="71"/>
      <c r="FQ32" s="71"/>
      <c r="FR32" s="71"/>
      <c r="FS32" s="71"/>
      <c r="FT32" s="71"/>
      <c r="FU32" s="71"/>
      <c r="FV32" s="71"/>
      <c r="FW32" s="71"/>
      <c r="FX32" s="71"/>
      <c r="FY32" s="71"/>
      <c r="FZ32" s="71"/>
      <c r="GA32" s="71"/>
    </row>
    <row r="33" spans="1:36" ht="15" customHeight="1">
      <c r="A33" s="45" t="s">
        <v>225</v>
      </c>
      <c r="B33" s="46" t="s">
        <v>235</v>
      </c>
      <c r="C33" s="114">
        <f>65315+703.02</f>
        <v>66018.02</v>
      </c>
      <c r="D33" s="105">
        <v>54752.24</v>
      </c>
      <c r="E33" s="50" t="e">
        <f>(#REF!-F33)</f>
        <v>#REF!</v>
      </c>
      <c r="F33" s="51">
        <f>'[1]10-11 for 12-13 Asmt'!AW33</f>
        <v>62047.51</v>
      </c>
      <c r="G33" s="61"/>
      <c r="H33" s="61" t="s">
        <v>236</v>
      </c>
      <c r="I33" s="72"/>
      <c r="J33" s="73"/>
      <c r="K33" s="72"/>
      <c r="L33" s="72">
        <f t="shared" si="6"/>
        <v>0</v>
      </c>
      <c r="M33" s="62">
        <v>2892.2785000000003</v>
      </c>
      <c r="N33" s="64">
        <v>10400</v>
      </c>
      <c r="O33" s="64">
        <v>9153.0319527786087</v>
      </c>
      <c r="P33" s="64">
        <v>6538</v>
      </c>
      <c r="Q33" s="64">
        <v>6444</v>
      </c>
      <c r="R33" s="64">
        <v>6823.0029882796798</v>
      </c>
      <c r="S33" s="63">
        <v>6280</v>
      </c>
      <c r="T33" s="63">
        <v>5324</v>
      </c>
      <c r="U33" s="63">
        <v>6855</v>
      </c>
      <c r="V33" s="63">
        <v>8749</v>
      </c>
      <c r="W33" s="63">
        <v>6762</v>
      </c>
      <c r="X33" s="63">
        <v>6489</v>
      </c>
      <c r="Y33" s="63">
        <v>7032.3120944774264</v>
      </c>
      <c r="Z33" s="63">
        <v>5839.0066936216826</v>
      </c>
      <c r="AA33" s="64"/>
      <c r="AB33" s="65" t="s">
        <v>237</v>
      </c>
      <c r="AC33" s="107">
        <v>62388.19</v>
      </c>
      <c r="AD33" s="95">
        <f t="shared" si="2"/>
        <v>61052.816666666673</v>
      </c>
      <c r="AE33" s="129">
        <v>1753.0475999688019</v>
      </c>
      <c r="AF33" s="99">
        <f t="shared" si="3"/>
        <v>1666.647925223356</v>
      </c>
      <c r="AG33" s="104">
        <f t="shared" si="0"/>
        <v>2.7298460844531428E-2</v>
      </c>
      <c r="AH33" s="128">
        <v>1887.8974153510176</v>
      </c>
      <c r="AI33" s="99">
        <f t="shared" si="4"/>
        <v>1794.8516117789986</v>
      </c>
      <c r="AJ33" s="104">
        <f t="shared" si="1"/>
        <v>2.9398342447956922E-2</v>
      </c>
    </row>
    <row r="34" spans="1:36" s="58" customFormat="1" ht="15" customHeight="1">
      <c r="A34" s="45" t="s">
        <v>238</v>
      </c>
      <c r="B34" s="46" t="s">
        <v>239</v>
      </c>
      <c r="C34" s="114">
        <v>62615.33</v>
      </c>
      <c r="D34" s="105">
        <v>69441.119999999995</v>
      </c>
      <c r="E34" s="50" t="e">
        <f>(#REF!-F34)</f>
        <v>#REF!</v>
      </c>
      <c r="F34" s="51">
        <f>'[1]10-11 for 12-13 Asmt'!AW34</f>
        <v>56817.65</v>
      </c>
      <c r="G34" s="105"/>
      <c r="H34" s="54" t="s">
        <v>241</v>
      </c>
      <c r="I34" s="57"/>
      <c r="J34" s="56"/>
      <c r="K34" s="57"/>
      <c r="L34" s="57">
        <f t="shared" si="6"/>
        <v>0</v>
      </c>
      <c r="M34" s="57">
        <v>2633.8415000000005</v>
      </c>
      <c r="N34" s="57">
        <v>10988</v>
      </c>
      <c r="O34" s="57">
        <v>11106.268690596087</v>
      </c>
      <c r="P34" s="57">
        <v>8473</v>
      </c>
      <c r="Q34" s="57">
        <v>8307</v>
      </c>
      <c r="R34" s="57">
        <v>9187.1706215640588</v>
      </c>
      <c r="S34" s="56">
        <v>8348</v>
      </c>
      <c r="T34" s="56">
        <v>6863</v>
      </c>
      <c r="U34" s="56">
        <v>7315</v>
      </c>
      <c r="V34" s="56">
        <v>7155</v>
      </c>
      <c r="W34" s="56">
        <v>6187</v>
      </c>
      <c r="X34" s="56">
        <v>5231</v>
      </c>
      <c r="Y34" s="56">
        <v>2934.4277719957445</v>
      </c>
      <c r="Z34" s="56">
        <v>2776.9385691142129</v>
      </c>
      <c r="AA34" s="57"/>
      <c r="AB34" s="46" t="s">
        <v>239</v>
      </c>
      <c r="AC34" s="105">
        <v>70926</v>
      </c>
      <c r="AD34" s="95">
        <f t="shared" si="2"/>
        <v>67660.816666666666</v>
      </c>
      <c r="AE34" s="129">
        <v>1841.7724658646173</v>
      </c>
      <c r="AF34" s="99">
        <f t="shared" si="3"/>
        <v>1847.0361544840196</v>
      </c>
      <c r="AG34" s="104">
        <f t="shared" si="0"/>
        <v>2.7298460844531431E-2</v>
      </c>
      <c r="AH34" s="128">
        <v>1983.4472709311262</v>
      </c>
      <c r="AI34" s="99">
        <f t="shared" si="4"/>
        <v>1989.1158586750978</v>
      </c>
      <c r="AJ34" s="104">
        <f t="shared" si="1"/>
        <v>2.9398342447956922E-2</v>
      </c>
    </row>
    <row r="35" spans="1:36" s="58" customFormat="1" ht="15" customHeight="1">
      <c r="A35" s="45" t="s">
        <v>242</v>
      </c>
      <c r="B35" s="46" t="s">
        <v>243</v>
      </c>
      <c r="C35" s="114">
        <v>59916.9</v>
      </c>
      <c r="D35" s="105">
        <v>56798</v>
      </c>
      <c r="E35" s="50" t="e">
        <f>(#REF!-F35)</f>
        <v>#REF!</v>
      </c>
      <c r="F35" s="51">
        <f>'[1]10-11 for 12-13 Asmt'!AW35</f>
        <v>61183.429999999993</v>
      </c>
      <c r="G35" s="105"/>
      <c r="H35" s="54" t="s">
        <v>245</v>
      </c>
      <c r="I35" s="57"/>
      <c r="J35" s="56"/>
      <c r="K35" s="57"/>
      <c r="L35" s="57">
        <f t="shared" si="6"/>
        <v>0</v>
      </c>
      <c r="M35" s="57">
        <v>2971.8924999999999</v>
      </c>
      <c r="N35" s="57">
        <v>10318</v>
      </c>
      <c r="O35" s="57">
        <v>9657.8857456291316</v>
      </c>
      <c r="P35" s="57">
        <v>8040</v>
      </c>
      <c r="Q35" s="57">
        <v>7472</v>
      </c>
      <c r="R35" s="57">
        <v>7700.7508312043601</v>
      </c>
      <c r="S35" s="56">
        <v>6472</v>
      </c>
      <c r="T35" s="56">
        <v>5389</v>
      </c>
      <c r="U35" s="56">
        <v>5059</v>
      </c>
      <c r="V35" s="56">
        <v>5317</v>
      </c>
      <c r="W35" s="56">
        <v>4238</v>
      </c>
      <c r="X35" s="56">
        <v>4600</v>
      </c>
      <c r="Y35" s="56">
        <v>6395.2930006503793</v>
      </c>
      <c r="Z35" s="56">
        <v>4506.0639593953601</v>
      </c>
      <c r="AA35" s="57"/>
      <c r="AB35" s="46" t="s">
        <v>246</v>
      </c>
      <c r="AC35" s="105">
        <v>51462.45</v>
      </c>
      <c r="AD35" s="95">
        <f t="shared" si="2"/>
        <v>56059.116666666661</v>
      </c>
      <c r="AE35" s="129">
        <v>1514.9929636248255</v>
      </c>
      <c r="AF35" s="99">
        <f t="shared" si="3"/>
        <v>1530.327601304019</v>
      </c>
      <c r="AG35" s="104">
        <f t="shared" si="0"/>
        <v>2.7298460844531428E-2</v>
      </c>
      <c r="AH35" s="128">
        <v>1631.5308839036584</v>
      </c>
      <c r="AI35" s="99">
        <f t="shared" si="4"/>
        <v>1648.0451090966358</v>
      </c>
      <c r="AJ35" s="104">
        <f t="shared" si="1"/>
        <v>2.9398342447956919E-2</v>
      </c>
    </row>
    <row r="36" spans="1:36" s="58" customFormat="1" ht="15" customHeight="1">
      <c r="A36" s="45" t="s">
        <v>242</v>
      </c>
      <c r="B36" s="46" t="s">
        <v>247</v>
      </c>
      <c r="C36" s="114">
        <v>73783.91</v>
      </c>
      <c r="D36" s="105">
        <v>79510.89</v>
      </c>
      <c r="E36" s="50" t="e">
        <f>(#REF!-F36)</f>
        <v>#REF!</v>
      </c>
      <c r="F36" s="51">
        <f>'[1]10-11 for 12-13 Asmt'!AW36</f>
        <v>62874.520000000004</v>
      </c>
      <c r="G36" s="54" t="s">
        <v>249</v>
      </c>
      <c r="H36" s="54" t="s">
        <v>250</v>
      </c>
      <c r="I36" s="57"/>
      <c r="J36" s="57"/>
      <c r="K36" s="57"/>
      <c r="L36" s="57">
        <f t="shared" si="6"/>
        <v>0</v>
      </c>
      <c r="M36" s="57">
        <v>2511.2059999999997</v>
      </c>
      <c r="N36" s="57">
        <v>2081</v>
      </c>
      <c r="O36" s="57">
        <v>8000</v>
      </c>
      <c r="P36" s="57">
        <v>4000</v>
      </c>
      <c r="Q36" s="57">
        <v>2000</v>
      </c>
      <c r="R36" s="57">
        <v>1000</v>
      </c>
      <c r="S36" s="56">
        <v>2000</v>
      </c>
      <c r="T36" s="56">
        <v>1000</v>
      </c>
      <c r="U36" s="56">
        <v>4873</v>
      </c>
      <c r="V36" s="56">
        <v>5647</v>
      </c>
      <c r="W36" s="56">
        <v>5260</v>
      </c>
      <c r="X36" s="56">
        <v>5459</v>
      </c>
      <c r="Y36" s="56">
        <v>5841.3629261191682</v>
      </c>
      <c r="Z36" s="56">
        <v>5359.692996998112</v>
      </c>
      <c r="AA36" s="57"/>
      <c r="AB36" s="46" t="s">
        <v>251</v>
      </c>
      <c r="AC36" s="105">
        <v>71991.899999999994</v>
      </c>
      <c r="AD36" s="95">
        <f t="shared" si="2"/>
        <v>75095.566666666666</v>
      </c>
      <c r="AE36" s="129">
        <v>2220.5364282407631</v>
      </c>
      <c r="AF36" s="99">
        <f t="shared" si="3"/>
        <v>2049.9933862478997</v>
      </c>
      <c r="AG36" s="104">
        <f t="shared" si="0"/>
        <v>2.7298460844531431E-2</v>
      </c>
      <c r="AH36" s="128">
        <v>2391.346922720822</v>
      </c>
      <c r="AI36" s="99">
        <f t="shared" si="4"/>
        <v>2207.6851851900456</v>
      </c>
      <c r="AJ36" s="104">
        <f t="shared" si="1"/>
        <v>2.9398342447956922E-2</v>
      </c>
    </row>
    <row r="37" spans="1:36" ht="15" customHeight="1">
      <c r="A37" s="45" t="s">
        <v>252</v>
      </c>
      <c r="B37" s="46" t="s">
        <v>253</v>
      </c>
      <c r="C37" s="114">
        <v>47940.01</v>
      </c>
      <c r="D37" s="105">
        <v>44310</v>
      </c>
      <c r="E37" s="50" t="e">
        <f>(#REF!-F37)</f>
        <v>#REF!</v>
      </c>
      <c r="F37" s="51">
        <f>'[1]10-11 for 12-13 Asmt'!AW37</f>
        <v>54995.94</v>
      </c>
      <c r="G37" s="61"/>
      <c r="H37" s="61"/>
      <c r="I37" s="72"/>
      <c r="J37" s="73"/>
      <c r="K37" s="72"/>
      <c r="L37" s="72">
        <f t="shared" si="6"/>
        <v>0</v>
      </c>
      <c r="M37" s="62">
        <v>2726.11</v>
      </c>
      <c r="N37" s="64">
        <v>2835</v>
      </c>
      <c r="O37" s="64">
        <v>9063.6503298914067</v>
      </c>
      <c r="P37" s="64">
        <v>8788</v>
      </c>
      <c r="Q37" s="64">
        <v>8788</v>
      </c>
      <c r="R37" s="64">
        <v>9114.5225325396586</v>
      </c>
      <c r="S37" s="63">
        <v>8674</v>
      </c>
      <c r="T37" s="63">
        <v>6906</v>
      </c>
      <c r="U37" s="63">
        <v>7674</v>
      </c>
      <c r="V37" s="63">
        <v>7584</v>
      </c>
      <c r="W37" s="63">
        <v>6019</v>
      </c>
      <c r="X37" s="63">
        <v>5878</v>
      </c>
      <c r="Y37" s="63">
        <v>5415.5366210664733</v>
      </c>
      <c r="Z37" s="63">
        <v>5803.8027123859256</v>
      </c>
      <c r="AA37" s="64"/>
      <c r="AB37" s="65" t="s">
        <v>253</v>
      </c>
      <c r="AC37" s="107">
        <v>47160.46</v>
      </c>
      <c r="AD37" s="95">
        <f t="shared" si="2"/>
        <v>46470.156666666669</v>
      </c>
      <c r="AE37" s="129">
        <v>1327.7075478024724</v>
      </c>
      <c r="AF37" s="99">
        <f t="shared" si="3"/>
        <v>1268.5637522042414</v>
      </c>
      <c r="AG37" s="104">
        <f t="shared" si="0"/>
        <v>2.7298460844531431E-2</v>
      </c>
      <c r="AH37" s="128">
        <v>1429.8388976334318</v>
      </c>
      <c r="AI37" s="99">
        <f t="shared" si="4"/>
        <v>1366.1455792968752</v>
      </c>
      <c r="AJ37" s="104">
        <f t="shared" si="1"/>
        <v>2.9398342447956926E-2</v>
      </c>
    </row>
    <row r="38" spans="1:36" ht="15" customHeight="1">
      <c r="A38" s="45" t="s">
        <v>255</v>
      </c>
      <c r="B38" s="46" t="s">
        <v>256</v>
      </c>
      <c r="C38" s="114">
        <v>107575.17</v>
      </c>
      <c r="D38" s="105">
        <v>101977.66</v>
      </c>
      <c r="E38" s="50" t="e">
        <f>(#REF!-F38)</f>
        <v>#REF!</v>
      </c>
      <c r="F38" s="51">
        <f>'[1]10-11 for 12-13 Asmt'!AW38</f>
        <v>162329.15999999997</v>
      </c>
      <c r="G38" s="61"/>
      <c r="H38" s="61"/>
      <c r="I38" s="64"/>
      <c r="J38" s="63"/>
      <c r="K38" s="64"/>
      <c r="L38" s="64">
        <f t="shared" si="6"/>
        <v>0</v>
      </c>
      <c r="M38" s="64">
        <v>25355.30887853666</v>
      </c>
      <c r="N38" s="64">
        <v>19067</v>
      </c>
      <c r="O38" s="64">
        <v>18573.707136807032</v>
      </c>
      <c r="P38" s="64">
        <v>8296</v>
      </c>
      <c r="Q38" s="64">
        <v>16011</v>
      </c>
      <c r="R38" s="64">
        <v>16237.804288786858</v>
      </c>
      <c r="S38" s="63">
        <v>11252</v>
      </c>
      <c r="T38" s="63">
        <v>13231</v>
      </c>
      <c r="U38" s="63">
        <v>8273</v>
      </c>
      <c r="V38" s="63">
        <v>12666</v>
      </c>
      <c r="W38" s="63">
        <v>11205</v>
      </c>
      <c r="X38" s="63">
        <v>6142</v>
      </c>
      <c r="Y38" s="63">
        <v>7755.6494250504447</v>
      </c>
      <c r="Z38" s="63">
        <v>5912.6461353747682</v>
      </c>
      <c r="AA38" s="64"/>
      <c r="AB38" s="65" t="s">
        <v>256</v>
      </c>
      <c r="AC38" s="107">
        <v>110639.92</v>
      </c>
      <c r="AD38" s="95">
        <f t="shared" si="2"/>
        <v>106730.91666666667</v>
      </c>
      <c r="AE38" s="129">
        <v>3066.8809159205907</v>
      </c>
      <c r="AF38" s="99">
        <f t="shared" si="3"/>
        <v>2913.5897495259469</v>
      </c>
      <c r="AG38" s="104">
        <f t="shared" ref="AG38:AG69" si="7">AF38/AD38</f>
        <v>2.7298460844531428E-2</v>
      </c>
      <c r="AH38" s="128">
        <v>3302.7948325298667</v>
      </c>
      <c r="AI38" s="99">
        <f t="shared" si="4"/>
        <v>3137.7120379510197</v>
      </c>
      <c r="AJ38" s="104">
        <f t="shared" ref="AJ38:AJ69" si="8">AI38/AD38</f>
        <v>2.9398342447956922E-2</v>
      </c>
    </row>
    <row r="39" spans="1:36" s="58" customFormat="1" ht="15" customHeight="1">
      <c r="A39" s="45" t="s">
        <v>255</v>
      </c>
      <c r="B39" s="46" t="s">
        <v>258</v>
      </c>
      <c r="C39" s="114">
        <v>50191.07</v>
      </c>
      <c r="D39" s="105">
        <v>51625.82</v>
      </c>
      <c r="E39" s="50" t="e">
        <f>(#REF!-F39)</f>
        <v>#REF!</v>
      </c>
      <c r="F39" s="51">
        <f>'[1]10-11 for 12-13 Asmt'!AW39</f>
        <v>44013.110000000008</v>
      </c>
      <c r="G39" s="54" t="s">
        <v>260</v>
      </c>
      <c r="H39" s="54" t="s">
        <v>261</v>
      </c>
      <c r="I39" s="57"/>
      <c r="J39" s="56"/>
      <c r="K39" s="57"/>
      <c r="L39" s="57">
        <f t="shared" si="6"/>
        <v>0</v>
      </c>
      <c r="M39" s="57">
        <v>2388.4435000000003</v>
      </c>
      <c r="N39" s="57">
        <v>1901</v>
      </c>
      <c r="O39" s="57">
        <v>6747.1608930760567</v>
      </c>
      <c r="P39" s="57">
        <v>5093</v>
      </c>
      <c r="Q39" s="57">
        <v>5080</v>
      </c>
      <c r="R39" s="57">
        <v>4000</v>
      </c>
      <c r="S39" s="56">
        <v>2000</v>
      </c>
      <c r="T39" s="56">
        <v>2000</v>
      </c>
      <c r="U39" s="56">
        <v>1000</v>
      </c>
      <c r="V39" s="56">
        <v>4650</v>
      </c>
      <c r="W39" s="56">
        <v>1101</v>
      </c>
      <c r="X39" s="56">
        <v>4632</v>
      </c>
      <c r="Y39" s="56">
        <v>3668.2200937192079</v>
      </c>
      <c r="Z39" s="56">
        <v>2911.1089803679529</v>
      </c>
      <c r="AA39" s="57"/>
      <c r="AB39" s="46" t="s">
        <v>258</v>
      </c>
      <c r="AC39" s="105">
        <v>53806.44</v>
      </c>
      <c r="AD39" s="95">
        <f t="shared" si="2"/>
        <v>51874.443333333336</v>
      </c>
      <c r="AE39" s="129">
        <v>1442.4909925250656</v>
      </c>
      <c r="AF39" s="99">
        <f t="shared" si="3"/>
        <v>1416.0924601668644</v>
      </c>
      <c r="AG39" s="104">
        <f t="shared" si="7"/>
        <v>2.7298460844531428E-2</v>
      </c>
      <c r="AH39" s="128">
        <v>1553.4518381039168</v>
      </c>
      <c r="AI39" s="99">
        <f t="shared" si="4"/>
        <v>1525.0226494104693</v>
      </c>
      <c r="AJ39" s="104">
        <f t="shared" si="8"/>
        <v>2.9398342447956919E-2</v>
      </c>
    </row>
    <row r="40" spans="1:36" ht="15" customHeight="1">
      <c r="A40" s="45" t="s">
        <v>262</v>
      </c>
      <c r="B40" s="46" t="s">
        <v>263</v>
      </c>
      <c r="C40" s="114">
        <v>125371.24</v>
      </c>
      <c r="D40" s="105">
        <v>127821.34</v>
      </c>
      <c r="E40" s="50" t="e">
        <f>(#REF!-F40)</f>
        <v>#REF!</v>
      </c>
      <c r="F40" s="51">
        <f>'[1]10-11 for 12-13 Asmt'!AW40</f>
        <v>79401.249999999985</v>
      </c>
      <c r="G40" s="61"/>
      <c r="H40" s="107"/>
      <c r="I40" s="64"/>
      <c r="J40" s="63"/>
      <c r="K40" s="64"/>
      <c r="L40" s="64">
        <f t="shared" si="6"/>
        <v>0</v>
      </c>
      <c r="M40" s="64">
        <v>14654.01302328266</v>
      </c>
      <c r="N40" s="64">
        <v>16530</v>
      </c>
      <c r="O40" s="64">
        <v>17520.125949628993</v>
      </c>
      <c r="P40" s="64">
        <v>17900</v>
      </c>
      <c r="Q40" s="64">
        <v>16722</v>
      </c>
      <c r="R40" s="64">
        <v>15972.601073529238</v>
      </c>
      <c r="S40" s="63">
        <v>14508</v>
      </c>
      <c r="T40" s="63">
        <v>12734</v>
      </c>
      <c r="U40" s="63">
        <v>11136</v>
      </c>
      <c r="V40" s="63">
        <v>10991</v>
      </c>
      <c r="W40" s="63">
        <v>9455</v>
      </c>
      <c r="X40" s="63">
        <v>9446</v>
      </c>
      <c r="Y40" s="63">
        <v>7051.1205030455321</v>
      </c>
      <c r="Z40" s="63">
        <v>8451.4491488950771</v>
      </c>
      <c r="AA40" s="64"/>
      <c r="AB40" s="65" t="s">
        <v>263</v>
      </c>
      <c r="AC40" s="107">
        <v>120020.02</v>
      </c>
      <c r="AD40" s="95">
        <f t="shared" si="2"/>
        <v>124404.20000000001</v>
      </c>
      <c r="AE40" s="129">
        <v>3133.453237979259</v>
      </c>
      <c r="AF40" s="99">
        <f t="shared" si="3"/>
        <v>3396.0431825952573</v>
      </c>
      <c r="AG40" s="104">
        <f t="shared" si="7"/>
        <v>2.7298460844531431E-2</v>
      </c>
      <c r="AH40" s="128">
        <v>3374.4881024392021</v>
      </c>
      <c r="AI40" s="99">
        <f t="shared" si="4"/>
        <v>3657.2772735641229</v>
      </c>
      <c r="AJ40" s="104">
        <f t="shared" si="8"/>
        <v>2.9398342447956922E-2</v>
      </c>
    </row>
    <row r="41" spans="1:36" s="58" customFormat="1" ht="15" customHeight="1">
      <c r="A41" s="45" t="s">
        <v>264</v>
      </c>
      <c r="B41" s="46" t="s">
        <v>265</v>
      </c>
      <c r="C41" s="114">
        <v>43760.84</v>
      </c>
      <c r="D41" s="105">
        <v>46116.51</v>
      </c>
      <c r="E41" s="50" t="e">
        <f>(#REF!-F41)</f>
        <v>#REF!</v>
      </c>
      <c r="F41" s="51">
        <f>'[1]10-11 for 12-13 Asmt'!AW41</f>
        <v>58874</v>
      </c>
      <c r="G41" s="54" t="s">
        <v>267</v>
      </c>
      <c r="H41" s="54"/>
      <c r="I41" s="57"/>
      <c r="J41" s="57"/>
      <c r="K41" s="57"/>
      <c r="L41" s="57">
        <f t="shared" si="6"/>
        <v>0</v>
      </c>
      <c r="M41" s="57">
        <v>2929.93</v>
      </c>
      <c r="N41" s="57">
        <v>11097</v>
      </c>
      <c r="O41" s="57">
        <v>8235.9338463825188</v>
      </c>
      <c r="P41" s="57">
        <v>8000</v>
      </c>
      <c r="Q41" s="57">
        <v>4000</v>
      </c>
      <c r="R41" s="57">
        <v>2000</v>
      </c>
      <c r="S41" s="56">
        <v>1500</v>
      </c>
      <c r="T41" s="56">
        <v>7191</v>
      </c>
      <c r="U41" s="56">
        <v>5592</v>
      </c>
      <c r="V41" s="56">
        <v>7050</v>
      </c>
      <c r="W41" s="56">
        <v>5840</v>
      </c>
      <c r="X41" s="56">
        <v>5248</v>
      </c>
      <c r="Y41" s="56">
        <v>5052.2840897952819</v>
      </c>
      <c r="Z41" s="56">
        <v>5028.97410208168</v>
      </c>
      <c r="AA41" s="57"/>
      <c r="AB41" s="46" t="s">
        <v>265</v>
      </c>
      <c r="AC41" s="105">
        <v>44727.09</v>
      </c>
      <c r="AD41" s="95">
        <f t="shared" si="2"/>
        <v>44868.146666666667</v>
      </c>
      <c r="AE41" s="129">
        <v>1365.8904503720946</v>
      </c>
      <c r="AF41" s="99">
        <f t="shared" si="3"/>
        <v>1224.8313449466934</v>
      </c>
      <c r="AG41" s="104">
        <f t="shared" si="7"/>
        <v>2.7298460844531431E-2</v>
      </c>
      <c r="AH41" s="128">
        <v>1470.9589465545635</v>
      </c>
      <c r="AI41" s="99">
        <f t="shared" si="4"/>
        <v>1319.0491407118236</v>
      </c>
      <c r="AJ41" s="104">
        <f t="shared" si="8"/>
        <v>2.9398342447956922E-2</v>
      </c>
    </row>
    <row r="42" spans="1:36" ht="15" customHeight="1">
      <c r="A42" s="45" t="s">
        <v>268</v>
      </c>
      <c r="B42" s="46" t="s">
        <v>269</v>
      </c>
      <c r="C42" s="114">
        <v>93274.55</v>
      </c>
      <c r="D42" s="105">
        <v>89658.73</v>
      </c>
      <c r="E42" s="50" t="e">
        <f>(#REF!-F42)</f>
        <v>#REF!</v>
      </c>
      <c r="F42" s="51">
        <f>'[1]10-11 for 12-13 Asmt'!AW42</f>
        <v>83463.679999999993</v>
      </c>
      <c r="G42" s="61"/>
      <c r="H42" s="61" t="s">
        <v>270</v>
      </c>
      <c r="I42" s="64"/>
      <c r="J42" s="63"/>
      <c r="K42" s="64"/>
      <c r="L42" s="64">
        <f t="shared" si="6"/>
        <v>0</v>
      </c>
      <c r="M42" s="64">
        <v>11421.126752381035</v>
      </c>
      <c r="N42" s="64">
        <v>12395</v>
      </c>
      <c r="O42" s="64">
        <v>11622.502767475051</v>
      </c>
      <c r="P42" s="64">
        <v>9423</v>
      </c>
      <c r="Q42" s="64">
        <v>8298</v>
      </c>
      <c r="R42" s="64">
        <v>7409.7203251534993</v>
      </c>
      <c r="S42" s="63">
        <v>10143</v>
      </c>
      <c r="T42" s="63">
        <v>7212</v>
      </c>
      <c r="U42" s="63">
        <v>7569</v>
      </c>
      <c r="V42" s="63">
        <v>7515</v>
      </c>
      <c r="W42" s="63">
        <v>6429</v>
      </c>
      <c r="X42" s="63">
        <v>6470</v>
      </c>
      <c r="Y42" s="63">
        <v>5858.4534303545088</v>
      </c>
      <c r="Z42" s="63">
        <v>6299.0240598628325</v>
      </c>
      <c r="AA42" s="64"/>
      <c r="AB42" s="65" t="s">
        <v>269</v>
      </c>
      <c r="AC42" s="107">
        <v>89921.94</v>
      </c>
      <c r="AD42" s="95">
        <f t="shared" si="2"/>
        <v>90951.739999999991</v>
      </c>
      <c r="AE42" s="129">
        <v>2301.8098252739983</v>
      </c>
      <c r="AF42" s="99">
        <f t="shared" si="3"/>
        <v>2482.8425131320028</v>
      </c>
      <c r="AG42" s="104">
        <f t="shared" si="7"/>
        <v>2.7298460844531431E-2</v>
      </c>
      <c r="AH42" s="128">
        <v>2478.872119525844</v>
      </c>
      <c r="AI42" s="99">
        <f t="shared" si="4"/>
        <v>2673.8303987575414</v>
      </c>
      <c r="AJ42" s="104">
        <f t="shared" si="8"/>
        <v>2.9398342447956922E-2</v>
      </c>
    </row>
    <row r="43" spans="1:36" ht="15" customHeight="1">
      <c r="A43" s="45" t="s">
        <v>271</v>
      </c>
      <c r="B43" s="46" t="s">
        <v>272</v>
      </c>
      <c r="C43" s="114">
        <v>76614.880000000005</v>
      </c>
      <c r="D43" s="105">
        <v>73092.44</v>
      </c>
      <c r="E43" s="50" t="e">
        <f>(#REF!-F43)</f>
        <v>#REF!</v>
      </c>
      <c r="F43" s="51">
        <f>'[1]10-11 for 12-13 Asmt'!AW43</f>
        <v>64914.270000000004</v>
      </c>
      <c r="G43" s="61"/>
      <c r="I43" s="64"/>
      <c r="J43" s="63"/>
      <c r="K43" s="64"/>
      <c r="L43" s="64">
        <f t="shared" si="6"/>
        <v>0</v>
      </c>
      <c r="M43" s="64">
        <v>4698</v>
      </c>
      <c r="N43" s="64">
        <v>2349</v>
      </c>
      <c r="O43" s="64">
        <v>1500</v>
      </c>
      <c r="P43" s="64">
        <v>5283</v>
      </c>
      <c r="Q43" s="64">
        <v>4000</v>
      </c>
      <c r="R43" s="64">
        <v>2000</v>
      </c>
      <c r="S43" s="63">
        <v>1000</v>
      </c>
      <c r="T43" s="63">
        <v>5326</v>
      </c>
      <c r="U43" s="63">
        <v>5728</v>
      </c>
      <c r="V43" s="63">
        <v>5082</v>
      </c>
      <c r="W43" s="63">
        <v>5008</v>
      </c>
      <c r="X43" s="63">
        <v>5027</v>
      </c>
      <c r="Y43" s="63">
        <v>3011.5084301105558</v>
      </c>
      <c r="Z43" s="63">
        <v>2782.4950907662828</v>
      </c>
      <c r="AA43" s="64"/>
      <c r="AB43" s="65" t="s">
        <v>273</v>
      </c>
      <c r="AC43" s="107">
        <v>68246.63</v>
      </c>
      <c r="AD43" s="95">
        <f t="shared" si="2"/>
        <v>72651.316666666666</v>
      </c>
      <c r="AE43" s="129">
        <v>1969.9857858249698</v>
      </c>
      <c r="AF43" s="99">
        <f t="shared" si="3"/>
        <v>1983.2691233286534</v>
      </c>
      <c r="AG43" s="104">
        <f t="shared" si="7"/>
        <v>2.7298460844531428E-2</v>
      </c>
      <c r="AH43" s="128">
        <v>2121.5231539653519</v>
      </c>
      <c r="AI43" s="99">
        <f t="shared" si="4"/>
        <v>2135.8282866616269</v>
      </c>
      <c r="AJ43" s="104">
        <f t="shared" si="8"/>
        <v>2.9398342447956922E-2</v>
      </c>
    </row>
    <row r="44" spans="1:36" s="58" customFormat="1" ht="15" customHeight="1">
      <c r="A44" s="45" t="s">
        <v>271</v>
      </c>
      <c r="B44" s="46" t="s">
        <v>274</v>
      </c>
      <c r="C44" s="114">
        <v>70431.58</v>
      </c>
      <c r="D44" s="105">
        <v>76789.02</v>
      </c>
      <c r="E44" s="50" t="e">
        <f>(#REF!-F44)</f>
        <v>#REF!</v>
      </c>
      <c r="F44" s="51">
        <f>'[1]10-11 for 12-13 Asmt'!AW44</f>
        <v>38033.81</v>
      </c>
      <c r="G44" s="54" t="s">
        <v>275</v>
      </c>
      <c r="H44" s="54" t="s">
        <v>276</v>
      </c>
      <c r="I44" s="57"/>
      <c r="J44" s="56"/>
      <c r="K44" s="57"/>
      <c r="L44" s="57">
        <f t="shared" si="6"/>
        <v>0</v>
      </c>
      <c r="M44" s="57">
        <v>2467.1999999999998</v>
      </c>
      <c r="N44" s="57">
        <v>2115</v>
      </c>
      <c r="O44" s="57">
        <v>8374.2349529477488</v>
      </c>
      <c r="P44" s="57">
        <v>9131</v>
      </c>
      <c r="Q44" s="57">
        <v>8891</v>
      </c>
      <c r="R44" s="57">
        <v>9267.8970021998175</v>
      </c>
      <c r="S44" s="56">
        <v>9099</v>
      </c>
      <c r="T44" s="56">
        <v>6694</v>
      </c>
      <c r="U44" s="56">
        <v>8180</v>
      </c>
      <c r="V44" s="56">
        <v>6062</v>
      </c>
      <c r="W44" s="56">
        <v>1086</v>
      </c>
      <c r="X44" s="56">
        <v>1087</v>
      </c>
      <c r="Y44" s="56">
        <v>4155.4519484187404</v>
      </c>
      <c r="Z44" s="56">
        <v>3967.2778594539946</v>
      </c>
      <c r="AA44" s="57"/>
      <c r="AB44" s="46" t="s">
        <v>274</v>
      </c>
      <c r="AC44" s="105">
        <v>68912.86</v>
      </c>
      <c r="AD44" s="95">
        <f t="shared" si="2"/>
        <v>72044.486666666679</v>
      </c>
      <c r="AE44" s="129">
        <v>1948.8565919430243</v>
      </c>
      <c r="AF44" s="99">
        <f t="shared" si="3"/>
        <v>1966.7035983343669</v>
      </c>
      <c r="AG44" s="104">
        <f t="shared" si="7"/>
        <v>2.7298460844531428E-2</v>
      </c>
      <c r="AH44" s="128">
        <v>2098.7686374771029</v>
      </c>
      <c r="AI44" s="99">
        <f t="shared" si="4"/>
        <v>2117.9884905139338</v>
      </c>
      <c r="AJ44" s="104">
        <f t="shared" si="8"/>
        <v>2.9398342447956926E-2</v>
      </c>
    </row>
    <row r="45" spans="1:36" s="58" customFormat="1" ht="15" customHeight="1">
      <c r="A45" s="45" t="s">
        <v>277</v>
      </c>
      <c r="B45" s="46" t="s">
        <v>278</v>
      </c>
      <c r="C45" s="114">
        <f>93717.57+100</f>
        <v>93817.57</v>
      </c>
      <c r="D45" s="105">
        <v>89221.08</v>
      </c>
      <c r="E45" s="50" t="e">
        <f>(#REF!-F45)</f>
        <v>#REF!</v>
      </c>
      <c r="F45" s="51">
        <f>'[1]10-11 for 12-13 Asmt'!AW45</f>
        <v>79374.22</v>
      </c>
      <c r="G45" s="54"/>
      <c r="H45" s="54" t="s">
        <v>280</v>
      </c>
      <c r="I45" s="57"/>
      <c r="J45" s="56"/>
      <c r="K45" s="57"/>
      <c r="L45" s="57">
        <f t="shared" si="6"/>
        <v>0</v>
      </c>
      <c r="M45" s="57">
        <v>11574.51683874831</v>
      </c>
      <c r="N45" s="57">
        <v>11971</v>
      </c>
      <c r="O45" s="57">
        <v>10794.476449094174</v>
      </c>
      <c r="P45" s="57">
        <v>10577</v>
      </c>
      <c r="Q45" s="57">
        <v>9844</v>
      </c>
      <c r="R45" s="57">
        <v>6740.3889508560387</v>
      </c>
      <c r="S45" s="56">
        <v>6233</v>
      </c>
      <c r="T45" s="56">
        <v>6764</v>
      </c>
      <c r="U45" s="56">
        <v>7041</v>
      </c>
      <c r="V45" s="56">
        <v>5828</v>
      </c>
      <c r="W45" s="56">
        <v>6548</v>
      </c>
      <c r="X45" s="56">
        <v>6997</v>
      </c>
      <c r="Y45" s="56">
        <v>7093.0560603511585</v>
      </c>
      <c r="Z45" s="56">
        <v>8159.6094248720237</v>
      </c>
      <c r="AA45" s="57"/>
      <c r="AB45" s="46" t="s">
        <v>278</v>
      </c>
      <c r="AC45" s="105">
        <v>91519.47</v>
      </c>
      <c r="AD45" s="95">
        <f t="shared" si="2"/>
        <v>91519.373333333337</v>
      </c>
      <c r="AE45" s="129">
        <v>2430.986933673481</v>
      </c>
      <c r="AF45" s="99">
        <f t="shared" si="3"/>
        <v>2498.3380294560538</v>
      </c>
      <c r="AG45" s="104">
        <f t="shared" si="7"/>
        <v>2.7298460844531428E-2</v>
      </c>
      <c r="AH45" s="128">
        <v>2617.985928571441</v>
      </c>
      <c r="AI45" s="99">
        <f t="shared" si="4"/>
        <v>2690.5178778757504</v>
      </c>
      <c r="AJ45" s="104">
        <f t="shared" si="8"/>
        <v>2.9398342447956922E-2</v>
      </c>
    </row>
    <row r="46" spans="1:36" ht="15" customHeight="1">
      <c r="A46" s="45" t="s">
        <v>281</v>
      </c>
      <c r="B46" s="46" t="s">
        <v>197</v>
      </c>
      <c r="C46" s="114">
        <v>711639.33</v>
      </c>
      <c r="D46" s="105">
        <v>708839.06</v>
      </c>
      <c r="E46" s="50" t="e">
        <f>(#REF!-F46)</f>
        <v>#REF!</v>
      </c>
      <c r="F46" s="51">
        <f>'[1]10-11 for 12-13 Asmt'!AW46</f>
        <v>582281.03999999992</v>
      </c>
      <c r="G46" s="61"/>
      <c r="H46" s="61"/>
      <c r="I46" s="64"/>
      <c r="J46" s="63"/>
      <c r="K46" s="64"/>
      <c r="L46" s="64">
        <f t="shared" si="6"/>
        <v>0</v>
      </c>
      <c r="M46" s="64">
        <v>78526</v>
      </c>
      <c r="N46" s="64">
        <v>71576</v>
      </c>
      <c r="O46" s="64">
        <v>59079.692078715889</v>
      </c>
      <c r="P46" s="64">
        <v>60115</v>
      </c>
      <c r="Q46" s="64">
        <v>51343</v>
      </c>
      <c r="R46" s="64">
        <v>53508.584060745787</v>
      </c>
      <c r="S46" s="63">
        <v>54282</v>
      </c>
      <c r="T46" s="63">
        <v>43984</v>
      </c>
      <c r="U46" s="63">
        <v>53250</v>
      </c>
      <c r="V46" s="63">
        <v>47923</v>
      </c>
      <c r="W46" s="63">
        <v>47244</v>
      </c>
      <c r="X46" s="63">
        <v>48706</v>
      </c>
      <c r="Y46" s="63">
        <v>45266.471740960398</v>
      </c>
      <c r="Z46" s="63">
        <v>34847.111319020158</v>
      </c>
      <c r="AA46" s="64"/>
      <c r="AB46" s="65" t="s">
        <v>197</v>
      </c>
      <c r="AC46" s="107">
        <v>802737.03</v>
      </c>
      <c r="AD46" s="95">
        <f t="shared" si="2"/>
        <v>741071.80666666664</v>
      </c>
      <c r="AE46" s="129">
        <v>21135.603716852384</v>
      </c>
      <c r="AF46" s="99">
        <f t="shared" si="3"/>
        <v>20230.119697276165</v>
      </c>
      <c r="AG46" s="104">
        <f t="shared" si="7"/>
        <v>2.7298460844531428E-2</v>
      </c>
      <c r="AH46" s="128">
        <v>22761.419387379487</v>
      </c>
      <c r="AI46" s="99">
        <f t="shared" si="4"/>
        <v>21786.282750912793</v>
      </c>
      <c r="AJ46" s="104">
        <f t="shared" si="8"/>
        <v>2.9398342447956922E-2</v>
      </c>
    </row>
    <row r="47" spans="1:36" s="58" customFormat="1" ht="15" customHeight="1">
      <c r="A47" s="45" t="s">
        <v>489</v>
      </c>
      <c r="B47" s="46" t="s">
        <v>411</v>
      </c>
      <c r="C47" s="114">
        <v>107174.57</v>
      </c>
      <c r="D47" s="105">
        <v>37007.46</v>
      </c>
      <c r="E47" s="50" t="e">
        <f>(#REF!-F47)</f>
        <v>#REF!</v>
      </c>
      <c r="F47" s="51">
        <f>'[1]10-11 for 12-13 Asmt'!AW44</f>
        <v>38033.81</v>
      </c>
      <c r="G47" s="54"/>
      <c r="H47" s="54" t="s">
        <v>280</v>
      </c>
      <c r="I47" s="57"/>
      <c r="J47" s="56"/>
      <c r="K47" s="57"/>
      <c r="L47" s="57">
        <f t="shared" ref="L47" si="9">SUM(J47:K47)</f>
        <v>0</v>
      </c>
      <c r="M47" s="57">
        <v>11574.51683874831</v>
      </c>
      <c r="N47" s="57">
        <v>11971</v>
      </c>
      <c r="O47" s="57">
        <v>10794.476449094174</v>
      </c>
      <c r="P47" s="57">
        <v>10577</v>
      </c>
      <c r="Q47" s="57">
        <v>9844</v>
      </c>
      <c r="R47" s="57">
        <v>6740.3889508560387</v>
      </c>
      <c r="S47" s="56">
        <v>6233</v>
      </c>
      <c r="T47" s="56">
        <v>6764</v>
      </c>
      <c r="U47" s="56">
        <v>7041</v>
      </c>
      <c r="V47" s="56">
        <v>5828</v>
      </c>
      <c r="W47" s="56">
        <v>6548</v>
      </c>
      <c r="X47" s="56">
        <v>6997</v>
      </c>
      <c r="Y47" s="56">
        <v>7093.0560603511585</v>
      </c>
      <c r="Z47" s="56">
        <v>8159.6094248720237</v>
      </c>
      <c r="AA47" s="57"/>
      <c r="AB47" s="46" t="s">
        <v>278</v>
      </c>
      <c r="AC47" s="105">
        <v>0</v>
      </c>
      <c r="AD47" s="95">
        <f t="shared" si="2"/>
        <v>48060.676666666666</v>
      </c>
      <c r="AE47" s="129">
        <v>341.73960055169329</v>
      </c>
      <c r="AF47" s="99">
        <f t="shared" si="3"/>
        <v>1311.9825001466852</v>
      </c>
      <c r="AG47" s="104">
        <f t="shared" si="7"/>
        <v>2.7298460844531428E-2</v>
      </c>
      <c r="AH47" s="128">
        <v>368.02726213259274</v>
      </c>
      <c r="AI47" s="99">
        <f t="shared" si="4"/>
        <v>1412.9042309271995</v>
      </c>
      <c r="AJ47" s="104">
        <f t="shared" si="8"/>
        <v>2.9398342447956922E-2</v>
      </c>
    </row>
    <row r="48" spans="1:36" s="58" customFormat="1" ht="15" customHeight="1">
      <c r="A48" s="45" t="s">
        <v>283</v>
      </c>
      <c r="B48" s="46" t="s">
        <v>284</v>
      </c>
      <c r="C48" s="114">
        <v>105360.89</v>
      </c>
      <c r="D48" s="105">
        <v>103419.64</v>
      </c>
      <c r="E48" s="50" t="e">
        <f>(#REF!-F48)</f>
        <v>#REF!</v>
      </c>
      <c r="F48" s="51">
        <f>'[1]10-11 for 12-13 Asmt'!AW47</f>
        <v>97374.450000000026</v>
      </c>
      <c r="G48" s="54"/>
      <c r="H48" s="54" t="s">
        <v>286</v>
      </c>
      <c r="I48" s="57"/>
      <c r="J48" s="56"/>
      <c r="K48" s="57"/>
      <c r="L48" s="57">
        <f t="shared" si="6"/>
        <v>0</v>
      </c>
      <c r="M48" s="57">
        <v>15644.752769492214</v>
      </c>
      <c r="N48" s="57">
        <v>20670</v>
      </c>
      <c r="O48" s="57">
        <v>16806.645091622591</v>
      </c>
      <c r="P48" s="57">
        <v>15869</v>
      </c>
      <c r="Q48" s="57">
        <v>18140</v>
      </c>
      <c r="R48" s="57">
        <v>17414.45363262168</v>
      </c>
      <c r="S48" s="56">
        <v>13037</v>
      </c>
      <c r="T48" s="56">
        <v>11482</v>
      </c>
      <c r="U48" s="56">
        <v>11387</v>
      </c>
      <c r="V48" s="56">
        <v>11834</v>
      </c>
      <c r="W48" s="56">
        <v>11750</v>
      </c>
      <c r="X48" s="56">
        <v>10365</v>
      </c>
      <c r="Y48" s="56">
        <v>9857.6892177762329</v>
      </c>
      <c r="Z48" s="56">
        <v>7983.7264350378482</v>
      </c>
      <c r="AA48" s="57"/>
      <c r="AB48" s="46" t="s">
        <v>287</v>
      </c>
      <c r="AC48" s="105">
        <v>88794.93</v>
      </c>
      <c r="AD48" s="95">
        <f t="shared" si="2"/>
        <v>99191.819999999992</v>
      </c>
      <c r="AE48" s="129">
        <v>2640.5052321221015</v>
      </c>
      <c r="AF48" s="99">
        <f t="shared" si="3"/>
        <v>2707.784014367809</v>
      </c>
      <c r="AG48" s="104">
        <f t="shared" si="7"/>
        <v>2.7298460844531428E-2</v>
      </c>
      <c r="AH48" s="128">
        <v>2843.6210192084172</v>
      </c>
      <c r="AI48" s="99">
        <f t="shared" si="4"/>
        <v>2916.0750923961023</v>
      </c>
      <c r="AJ48" s="104">
        <f t="shared" si="8"/>
        <v>2.9398342447956922E-2</v>
      </c>
    </row>
    <row r="49" spans="1:36" ht="15" customHeight="1">
      <c r="A49" s="45" t="s">
        <v>288</v>
      </c>
      <c r="B49" s="46" t="s">
        <v>265</v>
      </c>
      <c r="C49" s="114">
        <v>595608.77</v>
      </c>
      <c r="D49" s="105">
        <v>582441.91</v>
      </c>
      <c r="E49" s="50" t="e">
        <f>(#REF!-F49)</f>
        <v>#REF!</v>
      </c>
      <c r="F49" s="51">
        <f>'[1]10-11 for 12-13 Asmt'!AW48</f>
        <v>533091.12</v>
      </c>
      <c r="G49" s="61"/>
      <c r="H49" s="61" t="s">
        <v>289</v>
      </c>
      <c r="I49" s="64"/>
      <c r="J49" s="63"/>
      <c r="K49" s="64"/>
      <c r="L49" s="64">
        <f t="shared" si="6"/>
        <v>0</v>
      </c>
      <c r="M49" s="64">
        <v>65877.520495027813</v>
      </c>
      <c r="N49" s="64">
        <v>63477</v>
      </c>
      <c r="O49" s="64">
        <v>63610.61724712867</v>
      </c>
      <c r="P49" s="64">
        <v>60824</v>
      </c>
      <c r="Q49" s="64">
        <v>58203</v>
      </c>
      <c r="R49" s="64">
        <v>51183.242166868033</v>
      </c>
      <c r="S49" s="63">
        <v>54778</v>
      </c>
      <c r="T49" s="63">
        <v>60381</v>
      </c>
      <c r="U49" s="63">
        <v>38286</v>
      </c>
      <c r="V49" s="63">
        <v>49498</v>
      </c>
      <c r="W49" s="63">
        <v>43648</v>
      </c>
      <c r="X49" s="63">
        <v>32730</v>
      </c>
      <c r="Y49" s="63">
        <v>37797.506977975972</v>
      </c>
      <c r="Z49" s="63">
        <v>36830.148070379655</v>
      </c>
      <c r="AA49" s="64"/>
      <c r="AB49" s="65" t="s">
        <v>265</v>
      </c>
      <c r="AC49" s="107">
        <v>538326.74</v>
      </c>
      <c r="AD49" s="95">
        <f t="shared" si="2"/>
        <v>572125.80666666676</v>
      </c>
      <c r="AE49" s="129">
        <v>14924.554030665795</v>
      </c>
      <c r="AF49" s="99">
        <f t="shared" si="3"/>
        <v>15618.153931435962</v>
      </c>
      <c r="AG49" s="104">
        <f t="shared" si="7"/>
        <v>2.7298460844531431E-2</v>
      </c>
      <c r="AH49" s="128">
        <v>16072.596648409317</v>
      </c>
      <c r="AI49" s="99">
        <f t="shared" si="4"/>
        <v>16819.550387700267</v>
      </c>
      <c r="AJ49" s="104">
        <f t="shared" si="8"/>
        <v>2.9398342447956926E-2</v>
      </c>
    </row>
    <row r="50" spans="1:36" ht="15" customHeight="1">
      <c r="A50" s="45" t="s">
        <v>290</v>
      </c>
      <c r="B50" s="46" t="s">
        <v>136</v>
      </c>
      <c r="C50" s="114">
        <v>1014593.45</v>
      </c>
      <c r="D50" s="105">
        <v>955059.79</v>
      </c>
      <c r="E50" s="50" t="e">
        <f>(#REF!-F50)</f>
        <v>#REF!</v>
      </c>
      <c r="F50" s="51">
        <f>'[1]10-11 for 12-13 Asmt'!AW49</f>
        <v>537716.05999999982</v>
      </c>
      <c r="G50" s="61"/>
      <c r="H50" s="61"/>
      <c r="I50" s="64"/>
      <c r="J50" s="63"/>
      <c r="K50" s="64"/>
      <c r="L50" s="64">
        <f t="shared" si="6"/>
        <v>0</v>
      </c>
      <c r="M50" s="64">
        <v>81254.946866899249</v>
      </c>
      <c r="N50" s="64">
        <v>78636</v>
      </c>
      <c r="O50" s="64">
        <v>70347.963423915717</v>
      </c>
      <c r="P50" s="64">
        <v>62096</v>
      </c>
      <c r="Q50" s="64">
        <v>61299</v>
      </c>
      <c r="R50" s="64">
        <v>54746.57439803701</v>
      </c>
      <c r="S50" s="63">
        <v>42120</v>
      </c>
      <c r="T50" s="63">
        <v>40266</v>
      </c>
      <c r="U50" s="63">
        <v>37596</v>
      </c>
      <c r="V50" s="63">
        <v>34350</v>
      </c>
      <c r="W50" s="63">
        <v>34838</v>
      </c>
      <c r="X50" s="63">
        <v>29091</v>
      </c>
      <c r="Y50" s="63">
        <v>27430.394565780032</v>
      </c>
      <c r="Z50" s="63">
        <v>31340.658378691718</v>
      </c>
      <c r="AA50" s="64"/>
      <c r="AB50" s="65" t="s">
        <v>136</v>
      </c>
      <c r="AC50" s="107">
        <v>898506.58</v>
      </c>
      <c r="AD50" s="95">
        <f t="shared" si="2"/>
        <v>956053.27333333332</v>
      </c>
      <c r="AE50" s="129">
        <v>25251.326732166708</v>
      </c>
      <c r="AF50" s="99">
        <f t="shared" si="3"/>
        <v>26098.7828473761</v>
      </c>
      <c r="AG50" s="104">
        <f t="shared" si="7"/>
        <v>2.7298460844531424E-2</v>
      </c>
      <c r="AH50" s="128">
        <v>27193.736480794916</v>
      </c>
      <c r="AI50" s="99">
        <f t="shared" si="4"/>
        <v>28106.381527943493</v>
      </c>
      <c r="AJ50" s="104">
        <f t="shared" si="8"/>
        <v>2.9398342447956919E-2</v>
      </c>
    </row>
    <row r="51" spans="1:36" s="58" customFormat="1" ht="15" customHeight="1">
      <c r="A51" s="45" t="s">
        <v>292</v>
      </c>
      <c r="B51" s="46" t="s">
        <v>293</v>
      </c>
      <c r="C51" s="114">
        <v>44165.14</v>
      </c>
      <c r="D51" s="105">
        <v>44561.01</v>
      </c>
      <c r="E51" s="50" t="e">
        <f>(#REF!-F51)</f>
        <v>#REF!</v>
      </c>
      <c r="F51" s="51">
        <f>'[1]10-11 for 12-13 Asmt'!AW50</f>
        <v>50392.41</v>
      </c>
      <c r="G51" s="54" t="s">
        <v>295</v>
      </c>
      <c r="H51" s="54" t="s">
        <v>296</v>
      </c>
      <c r="I51" s="57"/>
      <c r="J51" s="57"/>
      <c r="K51" s="57"/>
      <c r="L51" s="57">
        <f t="shared" si="6"/>
        <v>0</v>
      </c>
      <c r="M51" s="57">
        <v>2005.6540000000002</v>
      </c>
      <c r="N51" s="57">
        <v>1912</v>
      </c>
      <c r="O51" s="57">
        <v>6000</v>
      </c>
      <c r="P51" s="57">
        <v>3000</v>
      </c>
      <c r="Q51" s="57">
        <v>1500</v>
      </c>
      <c r="R51" s="57">
        <v>750</v>
      </c>
      <c r="S51" s="56">
        <v>1000</v>
      </c>
      <c r="T51" s="56">
        <v>1000</v>
      </c>
      <c r="U51" s="56">
        <v>1000</v>
      </c>
      <c r="V51" s="56">
        <v>1100</v>
      </c>
      <c r="W51" s="56">
        <v>1070</v>
      </c>
      <c r="X51" s="56">
        <v>1062</v>
      </c>
      <c r="Y51" s="56">
        <v>1829.766097643073</v>
      </c>
      <c r="Z51" s="56">
        <v>1000</v>
      </c>
      <c r="AA51" s="57"/>
      <c r="AB51" s="46" t="s">
        <v>293</v>
      </c>
      <c r="AC51" s="105">
        <v>51396.51</v>
      </c>
      <c r="AD51" s="95">
        <f t="shared" si="2"/>
        <v>46707.553333333337</v>
      </c>
      <c r="AE51" s="129">
        <v>1386.1280683816815</v>
      </c>
      <c r="AF51" s="99">
        <f t="shared" si="3"/>
        <v>1275.0443158138635</v>
      </c>
      <c r="AG51" s="104">
        <f t="shared" si="7"/>
        <v>2.7298460844531428E-2</v>
      </c>
      <c r="AH51" s="128">
        <v>1492.7533044110417</v>
      </c>
      <c r="AI51" s="99">
        <f t="shared" si="4"/>
        <v>1373.1246477995453</v>
      </c>
      <c r="AJ51" s="104">
        <f t="shared" si="8"/>
        <v>2.9398342447956922E-2</v>
      </c>
    </row>
    <row r="52" spans="1:36" s="58" customFormat="1" ht="15" customHeight="1">
      <c r="A52" s="45" t="s">
        <v>297</v>
      </c>
      <c r="B52" s="46" t="s">
        <v>197</v>
      </c>
      <c r="C52" s="114">
        <v>511320.39</v>
      </c>
      <c r="D52" s="114">
        <v>509865.85</v>
      </c>
      <c r="E52" s="119" t="e">
        <f>(#REF!-F52)</f>
        <v>#REF!</v>
      </c>
      <c r="F52" s="118">
        <f>'[1]10-11 for 12-13 Asmt'!AW51</f>
        <v>389608.17000000004</v>
      </c>
      <c r="G52" s="114"/>
      <c r="H52" s="117" t="s">
        <v>299</v>
      </c>
      <c r="I52" s="120"/>
      <c r="J52" s="116"/>
      <c r="K52" s="120"/>
      <c r="L52" s="120">
        <f t="shared" si="6"/>
        <v>0</v>
      </c>
      <c r="M52" s="120">
        <v>33821.953895867817</v>
      </c>
      <c r="N52" s="120">
        <v>49069</v>
      </c>
      <c r="O52" s="120">
        <v>41199.408500133075</v>
      </c>
      <c r="P52" s="120">
        <v>37911</v>
      </c>
      <c r="Q52" s="120">
        <v>40844</v>
      </c>
      <c r="R52" s="120">
        <v>39857.74744169099</v>
      </c>
      <c r="S52" s="116">
        <v>29208</v>
      </c>
      <c r="T52" s="116">
        <v>20118</v>
      </c>
      <c r="U52" s="116">
        <v>25522</v>
      </c>
      <c r="V52" s="116">
        <v>21141</v>
      </c>
      <c r="W52" s="116">
        <v>18574</v>
      </c>
      <c r="X52" s="116">
        <v>19025</v>
      </c>
      <c r="Y52" s="116">
        <v>10314.681283322559</v>
      </c>
      <c r="Z52" s="116">
        <v>7483.1121048760442</v>
      </c>
      <c r="AA52" s="120"/>
      <c r="AB52" s="113" t="s">
        <v>197</v>
      </c>
      <c r="AC52" s="114">
        <v>492924.98</v>
      </c>
      <c r="AD52" s="95">
        <f t="shared" si="2"/>
        <v>504703.74</v>
      </c>
      <c r="AE52" s="129">
        <v>13772.403174221672</v>
      </c>
      <c r="AF52" s="99">
        <f t="shared" si="3"/>
        <v>13777.635284478571</v>
      </c>
      <c r="AG52" s="104">
        <f t="shared" si="7"/>
        <v>2.7298460844531428E-2</v>
      </c>
      <c r="AH52" s="128">
        <v>14831.818803007955</v>
      </c>
      <c r="AI52" s="99">
        <f t="shared" si="4"/>
        <v>14837.453383284615</v>
      </c>
      <c r="AJ52" s="104">
        <f t="shared" si="8"/>
        <v>2.9398342447956926E-2</v>
      </c>
    </row>
    <row r="53" spans="1:36" s="58" customFormat="1" ht="15" customHeight="1">
      <c r="A53" s="45" t="s">
        <v>297</v>
      </c>
      <c r="B53" s="46" t="s">
        <v>300</v>
      </c>
      <c r="C53" s="114">
        <v>33082.49</v>
      </c>
      <c r="D53" s="105">
        <v>33598.400000000001</v>
      </c>
      <c r="E53" s="50" t="e">
        <f>(#REF!-F53)</f>
        <v>#REF!</v>
      </c>
      <c r="F53" s="51">
        <f>'[1]10-11 for 12-13 Asmt'!AW52</f>
        <v>20561.349999999999</v>
      </c>
      <c r="G53" s="54" t="s">
        <v>232</v>
      </c>
      <c r="H53" s="54" t="s">
        <v>302</v>
      </c>
      <c r="I53" s="57"/>
      <c r="J53" s="56"/>
      <c r="K53" s="57"/>
      <c r="L53" s="57">
        <v>1541</v>
      </c>
      <c r="M53" s="57">
        <v>1450.4970000000003</v>
      </c>
      <c r="N53" s="57">
        <v>1322</v>
      </c>
      <c r="O53" s="57">
        <v>750</v>
      </c>
      <c r="P53" s="57">
        <v>1000</v>
      </c>
      <c r="Q53" s="57">
        <v>1500</v>
      </c>
      <c r="R53" s="57">
        <v>3000</v>
      </c>
      <c r="S53" s="56">
        <v>1500</v>
      </c>
      <c r="T53" s="56">
        <v>1000</v>
      </c>
      <c r="U53" s="56">
        <v>1000</v>
      </c>
      <c r="V53" s="56">
        <v>1100</v>
      </c>
      <c r="W53" s="56">
        <v>1096</v>
      </c>
      <c r="X53" s="56">
        <v>1076</v>
      </c>
      <c r="Y53" s="56">
        <v>2159.8201584263174</v>
      </c>
      <c r="Z53" s="56">
        <v>1000</v>
      </c>
      <c r="AA53" s="57"/>
      <c r="AB53" s="46" t="s">
        <v>300</v>
      </c>
      <c r="AC53" s="105">
        <v>33219.120000000003</v>
      </c>
      <c r="AD53" s="95">
        <f t="shared" si="2"/>
        <v>33300.003333333334</v>
      </c>
      <c r="AE53" s="129">
        <v>877.66553422426011</v>
      </c>
      <c r="AF53" s="99">
        <f t="shared" si="3"/>
        <v>909.03883711776609</v>
      </c>
      <c r="AG53" s="104">
        <f t="shared" si="7"/>
        <v>2.7298460844531428E-2</v>
      </c>
      <c r="AH53" s="128">
        <v>945.17826762612628</v>
      </c>
      <c r="AI53" s="99">
        <f t="shared" si="4"/>
        <v>978.96490151144042</v>
      </c>
      <c r="AJ53" s="104">
        <f t="shared" si="8"/>
        <v>2.9398342447956922E-2</v>
      </c>
    </row>
    <row r="54" spans="1:36" ht="15" customHeight="1">
      <c r="A54" s="45" t="s">
        <v>303</v>
      </c>
      <c r="B54" s="46" t="s">
        <v>166</v>
      </c>
      <c r="C54" s="114">
        <v>506156.31</v>
      </c>
      <c r="D54" s="105">
        <v>518389.2</v>
      </c>
      <c r="E54" s="50" t="e">
        <f>(#REF!-F54)</f>
        <v>#REF!</v>
      </c>
      <c r="F54" s="51">
        <f>'[1]10-11 for 12-13 Asmt'!AW53</f>
        <v>415419.99000000022</v>
      </c>
      <c r="G54" s="61"/>
      <c r="H54" s="61" t="s">
        <v>305</v>
      </c>
      <c r="I54" s="64"/>
      <c r="J54" s="63"/>
      <c r="K54" s="64"/>
      <c r="L54" s="64">
        <f>SUM(J54:K54)</f>
        <v>0</v>
      </c>
      <c r="M54" s="64">
        <v>47721.854645252723</v>
      </c>
      <c r="N54" s="64">
        <v>52978</v>
      </c>
      <c r="O54" s="64">
        <v>46202.628570429923</v>
      </c>
      <c r="P54" s="64">
        <v>37508</v>
      </c>
      <c r="Q54" s="64">
        <v>38137</v>
      </c>
      <c r="R54" s="64">
        <v>36080.421517005881</v>
      </c>
      <c r="S54" s="63">
        <v>31004</v>
      </c>
      <c r="T54" s="63">
        <v>33298</v>
      </c>
      <c r="U54" s="63">
        <v>31292</v>
      </c>
      <c r="V54" s="63">
        <v>25627</v>
      </c>
      <c r="W54" s="63">
        <v>18454</v>
      </c>
      <c r="X54" s="63">
        <v>13473</v>
      </c>
      <c r="Y54" s="63">
        <v>22883.430129417742</v>
      </c>
      <c r="Z54" s="63">
        <v>15419.40970394601</v>
      </c>
      <c r="AA54" s="64"/>
      <c r="AB54" s="65" t="s">
        <v>306</v>
      </c>
      <c r="AC54" s="107">
        <v>504094.93</v>
      </c>
      <c r="AD54" s="95">
        <f t="shared" si="2"/>
        <v>509546.8133333333</v>
      </c>
      <c r="AE54" s="129">
        <v>14098.302920548882</v>
      </c>
      <c r="AF54" s="99">
        <f t="shared" si="3"/>
        <v>13909.843732235764</v>
      </c>
      <c r="AG54" s="104">
        <f t="shared" si="7"/>
        <v>2.7298460844531428E-2</v>
      </c>
      <c r="AH54" s="128">
        <v>15182.787760591104</v>
      </c>
      <c r="AI54" s="99">
        <f t="shared" si="4"/>
        <v>14979.831711638515</v>
      </c>
      <c r="AJ54" s="104">
        <f t="shared" si="8"/>
        <v>2.9398342447956922E-2</v>
      </c>
    </row>
    <row r="55" spans="1:36" ht="15" customHeight="1">
      <c r="A55" s="45" t="s">
        <v>303</v>
      </c>
      <c r="B55" s="46" t="s">
        <v>307</v>
      </c>
      <c r="C55" s="114">
        <v>142975.13</v>
      </c>
      <c r="D55" s="105">
        <v>131158.10999999999</v>
      </c>
      <c r="E55" s="50">
        <v>-8237.2699999999895</v>
      </c>
      <c r="F55" s="51">
        <f>'[1]10-11 for 12-13 Asmt'!AW54</f>
        <v>106914.81</v>
      </c>
      <c r="G55" s="61"/>
      <c r="H55" s="61" t="s">
        <v>309</v>
      </c>
      <c r="I55" s="64"/>
      <c r="J55" s="63"/>
      <c r="K55" s="64"/>
      <c r="L55" s="64">
        <f>SUM(J55:K55)</f>
        <v>0</v>
      </c>
      <c r="M55" s="64">
        <v>14693.089205515866</v>
      </c>
      <c r="N55" s="64">
        <v>16838</v>
      </c>
      <c r="O55" s="64">
        <v>16298.78639231512</v>
      </c>
      <c r="P55" s="64">
        <v>16787</v>
      </c>
      <c r="Q55" s="64">
        <v>12952</v>
      </c>
      <c r="R55" s="64">
        <v>20526.422313015501</v>
      </c>
      <c r="S55" s="63">
        <v>15672</v>
      </c>
      <c r="T55" s="63">
        <v>13445</v>
      </c>
      <c r="U55" s="63">
        <v>14242</v>
      </c>
      <c r="V55" s="63">
        <v>13780</v>
      </c>
      <c r="W55" s="63">
        <v>11970</v>
      </c>
      <c r="X55" s="63">
        <v>12358</v>
      </c>
      <c r="Y55" s="63">
        <v>10329.84483259051</v>
      </c>
      <c r="Z55" s="63">
        <v>9245.9176481872037</v>
      </c>
      <c r="AA55" s="64"/>
      <c r="AB55" s="65" t="s">
        <v>307</v>
      </c>
      <c r="AC55" s="107">
        <v>118687.54</v>
      </c>
      <c r="AD55" s="95">
        <f t="shared" si="2"/>
        <v>130940.26</v>
      </c>
      <c r="AE55" s="129">
        <v>3422.4105311095445</v>
      </c>
      <c r="AF55" s="99">
        <f t="shared" si="3"/>
        <v>3574.4675605827647</v>
      </c>
      <c r="AG55" s="104">
        <f t="shared" si="7"/>
        <v>2.7298460844531428E-2</v>
      </c>
      <c r="AH55" s="128">
        <v>3685.6728796564325</v>
      </c>
      <c r="AI55" s="99">
        <f t="shared" si="4"/>
        <v>3849.4266037045159</v>
      </c>
      <c r="AJ55" s="104">
        <f t="shared" si="8"/>
        <v>2.9398342447956922E-2</v>
      </c>
    </row>
    <row r="56" spans="1:36" ht="15" customHeight="1">
      <c r="A56" s="45" t="s">
        <v>303</v>
      </c>
      <c r="B56" s="46" t="s">
        <v>310</v>
      </c>
      <c r="C56" s="114">
        <v>254621.43</v>
      </c>
      <c r="D56" s="105">
        <v>260336.48</v>
      </c>
      <c r="E56" s="50">
        <v>8415.7900000000081</v>
      </c>
      <c r="F56" s="51">
        <f>'[1]10-11 for 12-13 Asmt'!AW55</f>
        <v>228166.52</v>
      </c>
      <c r="G56" s="61"/>
      <c r="H56" s="61"/>
      <c r="I56" s="64"/>
      <c r="J56" s="63"/>
      <c r="K56" s="64"/>
      <c r="L56" s="64">
        <f>SUM(J56:K56)</f>
        <v>0</v>
      </c>
      <c r="M56" s="64">
        <v>37510.878748401454</v>
      </c>
      <c r="N56" s="64">
        <v>36907</v>
      </c>
      <c r="O56" s="64">
        <v>36285.289725934475</v>
      </c>
      <c r="P56" s="64">
        <v>32956</v>
      </c>
      <c r="Q56" s="64">
        <v>19522</v>
      </c>
      <c r="R56" s="64">
        <v>35815.580128806439</v>
      </c>
      <c r="S56" s="63">
        <v>18807</v>
      </c>
      <c r="T56" s="63">
        <v>27417</v>
      </c>
      <c r="U56" s="63">
        <v>29818</v>
      </c>
      <c r="V56" s="63">
        <v>17825</v>
      </c>
      <c r="W56" s="63">
        <v>20010</v>
      </c>
      <c r="X56" s="63">
        <v>16106</v>
      </c>
      <c r="Y56" s="63">
        <v>17536.703139592661</v>
      </c>
      <c r="Z56" s="63">
        <v>16342.869880531412</v>
      </c>
      <c r="AA56" s="64"/>
      <c r="AB56" s="65" t="s">
        <v>312</v>
      </c>
      <c r="AC56" s="107">
        <v>206870.42</v>
      </c>
      <c r="AD56" s="95">
        <f t="shared" si="2"/>
        <v>240609.44333333336</v>
      </c>
      <c r="AE56" s="129">
        <v>6128.4609492542468</v>
      </c>
      <c r="AF56" s="99">
        <f t="shared" si="3"/>
        <v>6568.2674676595052</v>
      </c>
      <c r="AG56" s="104">
        <f t="shared" si="7"/>
        <v>2.7298460844531431E-2</v>
      </c>
      <c r="AH56" s="128">
        <v>6599.8810222738039</v>
      </c>
      <c r="AI56" s="99">
        <f t="shared" si="4"/>
        <v>7073.5188113256208</v>
      </c>
      <c r="AJ56" s="104">
        <f t="shared" si="8"/>
        <v>2.9398342447956926E-2</v>
      </c>
    </row>
    <row r="57" spans="1:36" s="58" customFormat="1" ht="15" customHeight="1">
      <c r="A57" s="45" t="s">
        <v>303</v>
      </c>
      <c r="B57" s="46" t="s">
        <v>313</v>
      </c>
      <c r="C57" s="114">
        <v>441170.68</v>
      </c>
      <c r="D57" s="105">
        <v>448630.89</v>
      </c>
      <c r="E57" s="50">
        <v>34901.639999999985</v>
      </c>
      <c r="F57" s="51">
        <f>'[1]10-11 for 12-13 Asmt'!AW56</f>
        <v>242162.19</v>
      </c>
      <c r="G57" s="54" t="s">
        <v>315</v>
      </c>
      <c r="H57" s="54" t="s">
        <v>316</v>
      </c>
      <c r="I57" s="57"/>
      <c r="J57" s="56"/>
      <c r="K57" s="57"/>
      <c r="L57" s="57">
        <f>SUM(J57:K57)</f>
        <v>0</v>
      </c>
      <c r="M57" s="57">
        <v>42085.889267487757</v>
      </c>
      <c r="N57" s="57">
        <v>44938</v>
      </c>
      <c r="O57" s="57">
        <v>44121.744783365131</v>
      </c>
      <c r="P57" s="57">
        <v>43378</v>
      </c>
      <c r="Q57" s="57">
        <v>49115</v>
      </c>
      <c r="R57" s="57">
        <v>40809.581887465116</v>
      </c>
      <c r="S57" s="56">
        <v>38996</v>
      </c>
      <c r="T57" s="56">
        <v>40032</v>
      </c>
      <c r="U57" s="56">
        <v>28344</v>
      </c>
      <c r="V57" s="56">
        <v>31425</v>
      </c>
      <c r="W57" s="56">
        <v>27654</v>
      </c>
      <c r="X57" s="56">
        <v>26475</v>
      </c>
      <c r="Y57" s="56">
        <v>21116.334952615794</v>
      </c>
      <c r="Z57" s="56">
        <v>20522.086634977353</v>
      </c>
      <c r="AA57" s="57"/>
      <c r="AB57" s="46" t="s">
        <v>313</v>
      </c>
      <c r="AC57" s="105">
        <v>429947.38</v>
      </c>
      <c r="AD57" s="95">
        <f t="shared" si="2"/>
        <v>439916.31666666671</v>
      </c>
      <c r="AE57" s="129">
        <v>11934.140497663795</v>
      </c>
      <c r="AF57" s="99">
        <f t="shared" si="3"/>
        <v>12009.038345395491</v>
      </c>
      <c r="AG57" s="104">
        <f t="shared" si="7"/>
        <v>2.7298460844531431E-2</v>
      </c>
      <c r="AH57" s="128">
        <v>12852.151305176396</v>
      </c>
      <c r="AI57" s="99">
        <f t="shared" si="4"/>
        <v>12932.810525810528</v>
      </c>
      <c r="AJ57" s="104">
        <f t="shared" si="8"/>
        <v>2.9398342447956922E-2</v>
      </c>
    </row>
    <row r="58" spans="1:36" ht="15" customHeight="1">
      <c r="A58" s="45" t="s">
        <v>317</v>
      </c>
      <c r="B58" s="46" t="s">
        <v>318</v>
      </c>
      <c r="C58" s="114">
        <v>39246.379999999997</v>
      </c>
      <c r="D58" s="105">
        <v>36106.65</v>
      </c>
      <c r="E58" s="50">
        <v>12560.670000000013</v>
      </c>
      <c r="F58" s="51">
        <f>'[1]10-11 for 12-13 Asmt'!AW57</f>
        <v>33626.150000000009</v>
      </c>
      <c r="G58" s="107"/>
      <c r="H58" s="61"/>
      <c r="I58" s="64"/>
      <c r="J58" s="63"/>
      <c r="K58" s="64"/>
      <c r="L58" s="64">
        <v>2022</v>
      </c>
      <c r="M58" s="64">
        <v>1560.4585000000002</v>
      </c>
      <c r="N58" s="64">
        <v>1793</v>
      </c>
      <c r="O58" s="64">
        <v>1000</v>
      </c>
      <c r="P58" s="64">
        <v>6141</v>
      </c>
      <c r="Q58" s="64">
        <v>6657</v>
      </c>
      <c r="R58" s="64">
        <v>6730.9977798148393</v>
      </c>
      <c r="S58" s="63">
        <v>6210</v>
      </c>
      <c r="T58" s="63">
        <v>5569</v>
      </c>
      <c r="U58" s="63">
        <v>5383</v>
      </c>
      <c r="V58" s="63">
        <v>5267</v>
      </c>
      <c r="W58" s="63">
        <v>5146</v>
      </c>
      <c r="X58" s="63">
        <v>5037</v>
      </c>
      <c r="Y58" s="63">
        <v>4288.7229577013222</v>
      </c>
      <c r="Z58" s="63">
        <v>3337.3485772963618</v>
      </c>
      <c r="AA58" s="64"/>
      <c r="AB58" s="65" t="s">
        <v>318</v>
      </c>
      <c r="AC58" s="107">
        <v>36969.129999999997</v>
      </c>
      <c r="AD58" s="95">
        <f t="shared" si="2"/>
        <v>37440.720000000001</v>
      </c>
      <c r="AE58" s="129">
        <v>1046.9145225154734</v>
      </c>
      <c r="AF58" s="99">
        <f t="shared" si="3"/>
        <v>1022.0740289110648</v>
      </c>
      <c r="AG58" s="104">
        <f t="shared" si="7"/>
        <v>2.7298460844531431E-2</v>
      </c>
      <c r="AH58" s="128">
        <v>1127.4464088628176</v>
      </c>
      <c r="AI58" s="99">
        <f t="shared" si="4"/>
        <v>1100.6951080580698</v>
      </c>
      <c r="AJ58" s="104">
        <f t="shared" si="8"/>
        <v>2.9398342447956922E-2</v>
      </c>
    </row>
    <row r="59" spans="1:36" ht="15" customHeight="1">
      <c r="A59" s="45" t="s">
        <v>319</v>
      </c>
      <c r="B59" s="46" t="s">
        <v>320</v>
      </c>
      <c r="C59" s="114">
        <v>147101.67000000001</v>
      </c>
      <c r="D59" s="105">
        <v>144919.81</v>
      </c>
      <c r="E59" s="50">
        <v>40258.12000000001</v>
      </c>
      <c r="F59" s="51">
        <f>'[1]10-11 for 12-13 Asmt'!AW58</f>
        <v>98962.320000000022</v>
      </c>
      <c r="G59" s="61"/>
      <c r="H59" s="61"/>
      <c r="I59" s="64"/>
      <c r="J59" s="63"/>
      <c r="K59" s="64"/>
      <c r="L59" s="64">
        <f t="shared" ref="L59:L66" si="10">SUM(J59:K59)</f>
        <v>0</v>
      </c>
      <c r="M59" s="64">
        <v>4980</v>
      </c>
      <c r="N59" s="64">
        <v>2490</v>
      </c>
      <c r="O59" s="64">
        <v>7013.4729819128625</v>
      </c>
      <c r="P59" s="64">
        <v>13261</v>
      </c>
      <c r="Q59" s="64">
        <v>8983</v>
      </c>
      <c r="R59" s="64">
        <v>5350</v>
      </c>
      <c r="S59" s="63">
        <v>2675</v>
      </c>
      <c r="T59" s="63">
        <v>500</v>
      </c>
      <c r="U59" s="63">
        <v>2200</v>
      </c>
      <c r="V59" s="63">
        <v>1100</v>
      </c>
      <c r="W59" s="63">
        <v>4435</v>
      </c>
      <c r="X59" s="63">
        <v>1092</v>
      </c>
      <c r="Y59" s="63">
        <v>3477.3753099514897</v>
      </c>
      <c r="Z59" s="63">
        <v>3828.9023415792385</v>
      </c>
      <c r="AA59" s="64"/>
      <c r="AB59" s="65" t="s">
        <v>321</v>
      </c>
      <c r="AC59" s="107">
        <v>161604.79999999999</v>
      </c>
      <c r="AD59" s="95">
        <f t="shared" si="2"/>
        <v>151208.75999999998</v>
      </c>
      <c r="AE59" s="129">
        <v>4292.1172616351059</v>
      </c>
      <c r="AF59" s="99">
        <f t="shared" si="3"/>
        <v>4127.7664142101494</v>
      </c>
      <c r="AG59" s="104">
        <f t="shared" si="7"/>
        <v>2.7298460844531428E-2</v>
      </c>
      <c r="AH59" s="128">
        <v>4622.2801279147297</v>
      </c>
      <c r="AI59" s="99">
        <f t="shared" si="4"/>
        <v>4445.28690761093</v>
      </c>
      <c r="AJ59" s="104">
        <f t="shared" si="8"/>
        <v>2.9398342447956922E-2</v>
      </c>
    </row>
    <row r="60" spans="1:36" s="58" customFormat="1" ht="15" customHeight="1">
      <c r="A60" s="45" t="s">
        <v>322</v>
      </c>
      <c r="B60" s="46" t="s">
        <v>183</v>
      </c>
      <c r="C60" s="114">
        <v>355210.81</v>
      </c>
      <c r="D60" s="105">
        <v>362377.15</v>
      </c>
      <c r="E60" s="50">
        <v>16876.930000000168</v>
      </c>
      <c r="F60" s="51">
        <f>'[1]10-11 for 12-13 Asmt'!AW59</f>
        <v>272887.83000000019</v>
      </c>
      <c r="G60" s="54" t="s">
        <v>324</v>
      </c>
      <c r="H60" s="54" t="s">
        <v>325</v>
      </c>
      <c r="I60" s="57"/>
      <c r="J60" s="56"/>
      <c r="K60" s="57"/>
      <c r="L60" s="57">
        <f t="shared" si="10"/>
        <v>0</v>
      </c>
      <c r="M60" s="57">
        <v>41669.69297595814</v>
      </c>
      <c r="N60" s="57">
        <v>43418</v>
      </c>
      <c r="O60" s="57">
        <v>39332.107496838085</v>
      </c>
      <c r="P60" s="57">
        <v>42486</v>
      </c>
      <c r="Q60" s="57">
        <v>38562</v>
      </c>
      <c r="R60" s="57">
        <v>34314.914968460995</v>
      </c>
      <c r="S60" s="56">
        <v>35417</v>
      </c>
      <c r="T60" s="56">
        <v>27830</v>
      </c>
      <c r="U60" s="56">
        <v>24335</v>
      </c>
      <c r="V60" s="56">
        <v>26799</v>
      </c>
      <c r="W60" s="56">
        <v>24600</v>
      </c>
      <c r="X60" s="56">
        <v>21757</v>
      </c>
      <c r="Y60" s="56">
        <v>16898.590833917482</v>
      </c>
      <c r="Z60" s="56">
        <v>16341.215474700715</v>
      </c>
      <c r="AA60" s="57"/>
      <c r="AB60" s="46" t="s">
        <v>183</v>
      </c>
      <c r="AC60" s="105">
        <v>337231.68</v>
      </c>
      <c r="AD60" s="95">
        <f t="shared" si="2"/>
        <v>351606.54666666663</v>
      </c>
      <c r="AE60" s="129">
        <v>9588.6707883012277</v>
      </c>
      <c r="AF60" s="99">
        <f t="shared" si="3"/>
        <v>9598.3175468609115</v>
      </c>
      <c r="AG60" s="104">
        <f t="shared" si="7"/>
        <v>2.7298460844531428E-2</v>
      </c>
      <c r="AH60" s="128">
        <v>10326.260848939783</v>
      </c>
      <c r="AI60" s="99">
        <f t="shared" si="4"/>
        <v>10336.649665850213</v>
      </c>
      <c r="AJ60" s="104">
        <f t="shared" si="8"/>
        <v>2.9398342447956926E-2</v>
      </c>
    </row>
    <row r="61" spans="1:36" ht="15" customHeight="1">
      <c r="A61" s="45" t="s">
        <v>326</v>
      </c>
      <c r="B61" s="46" t="s">
        <v>327</v>
      </c>
      <c r="C61" s="114">
        <v>89121.02</v>
      </c>
      <c r="D61" s="105">
        <v>85516.04</v>
      </c>
      <c r="E61" s="50">
        <v>2756.7400000000198</v>
      </c>
      <c r="F61" s="51">
        <f>'[1]10-11 for 12-13 Asmt'!AW60</f>
        <v>55229.649999999994</v>
      </c>
      <c r="G61" s="107"/>
      <c r="H61" s="107" t="s">
        <v>329</v>
      </c>
      <c r="I61" s="64"/>
      <c r="J61" s="63"/>
      <c r="K61" s="64"/>
      <c r="L61" s="64">
        <f t="shared" si="10"/>
        <v>0</v>
      </c>
      <c r="M61" s="64">
        <v>10476.798164154497</v>
      </c>
      <c r="N61" s="64">
        <v>10283</v>
      </c>
      <c r="O61" s="64">
        <v>7394.4075800076535</v>
      </c>
      <c r="P61" s="64">
        <v>8307</v>
      </c>
      <c r="Q61" s="64">
        <v>8246</v>
      </c>
      <c r="R61" s="64">
        <v>9515.9307069234201</v>
      </c>
      <c r="S61" s="63">
        <v>8509</v>
      </c>
      <c r="T61" s="63">
        <v>8145</v>
      </c>
      <c r="U61" s="63">
        <v>8410</v>
      </c>
      <c r="V61" s="63">
        <v>8514</v>
      </c>
      <c r="W61" s="63">
        <v>7818</v>
      </c>
      <c r="X61" s="63">
        <v>7551</v>
      </c>
      <c r="Y61" s="63">
        <v>7217.77935809684</v>
      </c>
      <c r="Z61" s="63">
        <v>5975.1940854705499</v>
      </c>
      <c r="AA61" s="64"/>
      <c r="AB61" s="65" t="s">
        <v>330</v>
      </c>
      <c r="AC61" s="107">
        <v>68156.36</v>
      </c>
      <c r="AD61" s="95">
        <f t="shared" si="2"/>
        <v>80931.14</v>
      </c>
      <c r="AE61" s="129">
        <v>2011.9256810788895</v>
      </c>
      <c r="AF61" s="99">
        <f t="shared" si="3"/>
        <v>2209.2955563932915</v>
      </c>
      <c r="AG61" s="104">
        <f t="shared" si="7"/>
        <v>2.7298460844531431E-2</v>
      </c>
      <c r="AH61" s="128">
        <v>2166.6891950080349</v>
      </c>
      <c r="AI61" s="99">
        <f t="shared" si="4"/>
        <v>2379.2413684235448</v>
      </c>
      <c r="AJ61" s="104">
        <f t="shared" si="8"/>
        <v>2.9398342447956929E-2</v>
      </c>
    </row>
    <row r="62" spans="1:36" ht="15" customHeight="1">
      <c r="A62" s="45" t="s">
        <v>331</v>
      </c>
      <c r="B62" s="46" t="s">
        <v>332</v>
      </c>
      <c r="C62" s="114">
        <v>236842.93</v>
      </c>
      <c r="D62" s="105">
        <v>222363.3</v>
      </c>
      <c r="E62" s="50">
        <v>34058.070000000036</v>
      </c>
      <c r="F62" s="51">
        <f>'[1]10-11 for 12-13 Asmt'!AW61</f>
        <v>154707.49</v>
      </c>
      <c r="G62" s="61"/>
      <c r="H62" s="74" t="s">
        <v>334</v>
      </c>
      <c r="I62" s="64"/>
      <c r="J62" s="63"/>
      <c r="K62" s="64"/>
      <c r="L62" s="64">
        <f t="shared" si="10"/>
        <v>0</v>
      </c>
      <c r="M62" s="64">
        <v>17685.832645593811</v>
      </c>
      <c r="N62" s="64">
        <v>19984</v>
      </c>
      <c r="O62" s="64">
        <v>18907.433720040521</v>
      </c>
      <c r="P62" s="64">
        <v>18620</v>
      </c>
      <c r="Q62" s="64">
        <v>14239</v>
      </c>
      <c r="R62" s="64">
        <v>15681.765300790936</v>
      </c>
      <c r="S62" s="63">
        <v>12489</v>
      </c>
      <c r="T62" s="63">
        <v>15465</v>
      </c>
      <c r="U62" s="63">
        <v>15239</v>
      </c>
      <c r="V62" s="63">
        <v>14788</v>
      </c>
      <c r="W62" s="63">
        <v>10788</v>
      </c>
      <c r="X62" s="63">
        <v>11471</v>
      </c>
      <c r="Y62" s="63">
        <v>10211.320501016247</v>
      </c>
      <c r="Z62" s="63">
        <v>9819.6174160039973</v>
      </c>
      <c r="AA62" s="64"/>
      <c r="AB62" s="65" t="s">
        <v>335</v>
      </c>
      <c r="AC62" s="107">
        <v>207055.35999999999</v>
      </c>
      <c r="AD62" s="95">
        <f t="shared" si="2"/>
        <v>222087.19666666666</v>
      </c>
      <c r="AE62" s="129">
        <v>5886.228326502297</v>
      </c>
      <c r="AF62" s="99">
        <f t="shared" si="3"/>
        <v>6062.63864227675</v>
      </c>
      <c r="AG62" s="104">
        <f t="shared" si="7"/>
        <v>2.7298460844531428E-2</v>
      </c>
      <c r="AH62" s="128">
        <v>6339.0151208486277</v>
      </c>
      <c r="AI62" s="99">
        <f t="shared" si="4"/>
        <v>6528.9954609134229</v>
      </c>
      <c r="AJ62" s="104">
        <f t="shared" si="8"/>
        <v>2.9398342447956919E-2</v>
      </c>
    </row>
    <row r="63" spans="1:36" s="58" customFormat="1" ht="15" customHeight="1">
      <c r="A63" s="45" t="s">
        <v>336</v>
      </c>
      <c r="B63" s="46" t="s">
        <v>337</v>
      </c>
      <c r="C63" s="114">
        <v>157480.85999999999</v>
      </c>
      <c r="D63" s="105">
        <v>156983.31</v>
      </c>
      <c r="E63" s="50" t="e">
        <f>(#REF!-F63)</f>
        <v>#REF!</v>
      </c>
      <c r="F63" s="51">
        <f>'[1]10-11 for 12-13 Asmt'!AW65</f>
        <v>127846.07999999999</v>
      </c>
      <c r="G63" s="54" t="s">
        <v>339</v>
      </c>
      <c r="H63" s="54" t="s">
        <v>340</v>
      </c>
      <c r="I63" s="57"/>
      <c r="J63" s="56"/>
      <c r="K63" s="57"/>
      <c r="L63" s="57">
        <f>SUM(J63:K63)</f>
        <v>0</v>
      </c>
      <c r="M63" s="57">
        <v>22179.122391462395</v>
      </c>
      <c r="N63" s="57">
        <v>21553</v>
      </c>
      <c r="O63" s="57">
        <v>18702.37221491948</v>
      </c>
      <c r="P63" s="57">
        <v>16830</v>
      </c>
      <c r="Q63" s="57">
        <v>17927</v>
      </c>
      <c r="R63" s="57">
        <v>17420.683528193662</v>
      </c>
      <c r="S63" s="56">
        <v>7476</v>
      </c>
      <c r="T63" s="56">
        <v>6126</v>
      </c>
      <c r="U63" s="56">
        <v>8612</v>
      </c>
      <c r="V63" s="56">
        <v>6698</v>
      </c>
      <c r="W63" s="56">
        <v>12420</v>
      </c>
      <c r="X63" s="56">
        <v>11267</v>
      </c>
      <c r="Y63" s="56">
        <v>10135.684751699573</v>
      </c>
      <c r="Z63" s="56">
        <v>9361.0021745511604</v>
      </c>
      <c r="AA63" s="57"/>
      <c r="AB63" s="46" t="s">
        <v>341</v>
      </c>
      <c r="AC63" s="105">
        <v>149577.62</v>
      </c>
      <c r="AD63" s="95">
        <f t="shared" si="2"/>
        <v>154680.59666666665</v>
      </c>
      <c r="AE63" s="129">
        <v>3345.0825073695792</v>
      </c>
      <c r="AF63" s="99">
        <f t="shared" si="3"/>
        <v>4222.542211513758</v>
      </c>
      <c r="AG63" s="104">
        <f t="shared" si="7"/>
        <v>2.7298460844531428E-2</v>
      </c>
      <c r="AH63" s="128">
        <v>3602.3965463980085</v>
      </c>
      <c r="AI63" s="99">
        <f t="shared" si="4"/>
        <v>4547.3531508609703</v>
      </c>
      <c r="AJ63" s="104">
        <f t="shared" si="8"/>
        <v>2.9398342447956922E-2</v>
      </c>
    </row>
    <row r="64" spans="1:36" ht="15" customHeight="1">
      <c r="A64" s="45" t="s">
        <v>336</v>
      </c>
      <c r="B64" s="46" t="s">
        <v>342</v>
      </c>
      <c r="C64" s="114">
        <v>83075.649999999994</v>
      </c>
      <c r="D64" s="114">
        <v>85095.82</v>
      </c>
      <c r="E64" s="119">
        <v>10566.730000000025</v>
      </c>
      <c r="F64" s="118">
        <f>'[1]10-11 for 12-13 Asmt'!AW62</f>
        <v>84625.989999999991</v>
      </c>
      <c r="G64" s="114"/>
      <c r="H64" s="117" t="s">
        <v>344</v>
      </c>
      <c r="I64" s="120"/>
      <c r="J64" s="116"/>
      <c r="K64" s="120"/>
      <c r="L64" s="120">
        <f>SUM(J64:K64)</f>
        <v>0</v>
      </c>
      <c r="M64" s="120">
        <v>5638</v>
      </c>
      <c r="N64" s="120">
        <v>2819</v>
      </c>
      <c r="O64" s="120">
        <v>10695.285027931803</v>
      </c>
      <c r="P64" s="120">
        <v>10741</v>
      </c>
      <c r="Q64" s="120">
        <v>11200</v>
      </c>
      <c r="R64" s="120">
        <v>10244.651030261859</v>
      </c>
      <c r="S64" s="116">
        <v>9929</v>
      </c>
      <c r="T64" s="116">
        <v>8536</v>
      </c>
      <c r="U64" s="116">
        <v>7360</v>
      </c>
      <c r="V64" s="116">
        <v>7080</v>
      </c>
      <c r="W64" s="116">
        <v>8540</v>
      </c>
      <c r="X64" s="116">
        <v>8404</v>
      </c>
      <c r="Y64" s="116">
        <v>7235.3555976302778</v>
      </c>
      <c r="Z64" s="116">
        <v>6580.1564186398509</v>
      </c>
      <c r="AA64" s="120"/>
      <c r="AB64" s="113" t="s">
        <v>342</v>
      </c>
      <c r="AC64" s="114">
        <v>95930.57</v>
      </c>
      <c r="AD64" s="95">
        <f t="shared" si="2"/>
        <v>88034.013333333351</v>
      </c>
      <c r="AE64" s="129">
        <v>2381.1206472668164</v>
      </c>
      <c r="AF64" s="99">
        <f t="shared" si="3"/>
        <v>2403.1930659669583</v>
      </c>
      <c r="AG64" s="104">
        <f t="shared" si="7"/>
        <v>2.7298460844531431E-2</v>
      </c>
      <c r="AH64" s="128">
        <v>2564.2837739796487</v>
      </c>
      <c r="AI64" s="99">
        <f t="shared" si="4"/>
        <v>2588.0540710413397</v>
      </c>
      <c r="AJ64" s="104">
        <f t="shared" si="8"/>
        <v>2.9398342447956926E-2</v>
      </c>
    </row>
    <row r="65" spans="1:36" s="58" customFormat="1" ht="15" customHeight="1">
      <c r="A65" s="45" t="s">
        <v>345</v>
      </c>
      <c r="B65" s="46" t="s">
        <v>346</v>
      </c>
      <c r="C65" s="114">
        <v>0</v>
      </c>
      <c r="D65" s="114">
        <v>58888.12</v>
      </c>
      <c r="E65" s="119">
        <v>8168.0500000000029</v>
      </c>
      <c r="F65" s="118">
        <f>'[1]10-11 for 12-13 Asmt'!AW63</f>
        <v>57597.75</v>
      </c>
      <c r="G65" s="117" t="s">
        <v>348</v>
      </c>
      <c r="H65" s="117" t="s">
        <v>349</v>
      </c>
      <c r="I65" s="120"/>
      <c r="J65" s="116"/>
      <c r="K65" s="120"/>
      <c r="L65" s="120">
        <f t="shared" si="10"/>
        <v>0</v>
      </c>
      <c r="M65" s="120">
        <v>2920.9364999999998</v>
      </c>
      <c r="N65" s="120">
        <v>2256</v>
      </c>
      <c r="O65" s="120">
        <v>9176.5908784157164</v>
      </c>
      <c r="P65" s="120">
        <v>6395</v>
      </c>
      <c r="Q65" s="120">
        <v>3500</v>
      </c>
      <c r="R65" s="120">
        <v>1750</v>
      </c>
      <c r="S65" s="116">
        <v>1000</v>
      </c>
      <c r="T65" s="116">
        <v>1000</v>
      </c>
      <c r="U65" s="116">
        <v>5451</v>
      </c>
      <c r="V65" s="116">
        <v>4665</v>
      </c>
      <c r="W65" s="116">
        <v>1104</v>
      </c>
      <c r="X65" s="116">
        <v>1078</v>
      </c>
      <c r="Y65" s="116">
        <v>3854.6908003848175</v>
      </c>
      <c r="Z65" s="116">
        <v>500</v>
      </c>
      <c r="AA65" s="120"/>
      <c r="AB65" s="113" t="s">
        <v>346</v>
      </c>
      <c r="AC65" s="114">
        <v>80115.929999999993</v>
      </c>
      <c r="AD65" s="95">
        <f t="shared" si="2"/>
        <v>46334.683333333327</v>
      </c>
      <c r="AE65" s="129">
        <v>5191.6835191471682</v>
      </c>
      <c r="AF65" s="99">
        <f t="shared" si="3"/>
        <v>1264.8655387187628</v>
      </c>
      <c r="AG65" s="104">
        <f t="shared" si="7"/>
        <v>2.7298460844531428E-2</v>
      </c>
      <c r="AH65" s="128">
        <v>5591.0437898507971</v>
      </c>
      <c r="AI65" s="99">
        <f t="shared" si="4"/>
        <v>1362.1628878509753</v>
      </c>
      <c r="AJ65" s="104">
        <f t="shared" si="8"/>
        <v>2.9398342447956922E-2</v>
      </c>
    </row>
    <row r="66" spans="1:36" ht="15" customHeight="1">
      <c r="A66" s="45" t="s">
        <v>350</v>
      </c>
      <c r="B66" s="46" t="s">
        <v>351</v>
      </c>
      <c r="C66" s="114">
        <v>400400.54</v>
      </c>
      <c r="D66" s="114">
        <v>416783.9</v>
      </c>
      <c r="E66" s="119" t="e">
        <f>(#REF!-F66)</f>
        <v>#REF!</v>
      </c>
      <c r="F66" s="118">
        <f>'[1]10-11 for 12-13 Asmt'!AW64</f>
        <v>316538.59000000003</v>
      </c>
      <c r="G66" s="117"/>
      <c r="H66" s="117" t="s">
        <v>353</v>
      </c>
      <c r="I66" s="120"/>
      <c r="J66" s="116"/>
      <c r="K66" s="120"/>
      <c r="L66" s="120">
        <f t="shared" si="10"/>
        <v>0</v>
      </c>
      <c r="M66" s="120">
        <v>43533.135685677124</v>
      </c>
      <c r="N66" s="120">
        <v>35331</v>
      </c>
      <c r="O66" s="120">
        <v>29230.054609820418</v>
      </c>
      <c r="P66" s="120">
        <v>17933</v>
      </c>
      <c r="Q66" s="120">
        <v>17973</v>
      </c>
      <c r="R66" s="120">
        <v>17631.739889550023</v>
      </c>
      <c r="S66" s="116">
        <v>17271</v>
      </c>
      <c r="T66" s="116">
        <v>14425</v>
      </c>
      <c r="U66" s="116">
        <v>15683</v>
      </c>
      <c r="V66" s="116">
        <v>15441</v>
      </c>
      <c r="W66" s="116">
        <v>11822</v>
      </c>
      <c r="X66" s="116">
        <v>9263</v>
      </c>
      <c r="Y66" s="116">
        <v>10398.168728533796</v>
      </c>
      <c r="Z66" s="116">
        <v>10563.476309803928</v>
      </c>
      <c r="AA66" s="120"/>
      <c r="AB66" s="113" t="s">
        <v>351</v>
      </c>
      <c r="AC66" s="114">
        <v>412352.05</v>
      </c>
      <c r="AD66" s="95">
        <f t="shared" si="2"/>
        <v>409845.49666666664</v>
      </c>
      <c r="AE66" s="129">
        <v>9049.2363581300178</v>
      </c>
      <c r="AF66" s="99">
        <f t="shared" si="3"/>
        <v>11188.151243062535</v>
      </c>
      <c r="AG66" s="104">
        <f t="shared" si="7"/>
        <v>2.7298460844531428E-2</v>
      </c>
      <c r="AH66" s="128">
        <v>9745.3314626015581</v>
      </c>
      <c r="AI66" s="99">
        <f t="shared" si="4"/>
        <v>12048.778261759653</v>
      </c>
      <c r="AJ66" s="104">
        <f t="shared" si="8"/>
        <v>2.9398342447956922E-2</v>
      </c>
    </row>
    <row r="67" spans="1:36" ht="15" customHeight="1">
      <c r="A67" s="45" t="s">
        <v>354</v>
      </c>
      <c r="B67" s="46" t="s">
        <v>355</v>
      </c>
      <c r="C67" s="114">
        <v>97061.29</v>
      </c>
      <c r="D67" s="105">
        <v>96147.98</v>
      </c>
      <c r="E67" s="50" t="e">
        <f>(#REF!-F67)</f>
        <v>#REF!</v>
      </c>
      <c r="F67" s="51">
        <f>'[1]10-11 for 12-13 Asmt'!AW66</f>
        <v>58213.55</v>
      </c>
      <c r="G67" s="61"/>
      <c r="H67" s="61" t="s">
        <v>357</v>
      </c>
      <c r="I67" s="64"/>
      <c r="J67" s="63"/>
      <c r="K67" s="64"/>
      <c r="L67" s="64">
        <v>2589</v>
      </c>
      <c r="M67" s="64">
        <v>7000</v>
      </c>
      <c r="N67" s="64">
        <v>3500</v>
      </c>
      <c r="O67" s="64">
        <v>1750</v>
      </c>
      <c r="P67" s="64">
        <v>5048</v>
      </c>
      <c r="Q67" s="64">
        <v>7060</v>
      </c>
      <c r="R67" s="64">
        <v>8685.1025993161184</v>
      </c>
      <c r="S67" s="63">
        <v>7432</v>
      </c>
      <c r="T67" s="63">
        <v>8167</v>
      </c>
      <c r="U67" s="63">
        <v>7846</v>
      </c>
      <c r="V67" s="63">
        <v>9289</v>
      </c>
      <c r="W67" s="63">
        <v>8032</v>
      </c>
      <c r="X67" s="63">
        <v>8284</v>
      </c>
      <c r="Y67" s="63">
        <v>7934.5561878715016</v>
      </c>
      <c r="Z67" s="63">
        <v>4950.5780850973451</v>
      </c>
      <c r="AA67" s="64"/>
      <c r="AB67" s="65" t="s">
        <v>358</v>
      </c>
      <c r="AC67" s="107">
        <v>85496.83</v>
      </c>
      <c r="AD67" s="95">
        <f t="shared" si="2"/>
        <v>92902.033333333326</v>
      </c>
      <c r="AE67" s="129">
        <v>2494.2262117614705</v>
      </c>
      <c r="AF67" s="99">
        <f t="shared" si="3"/>
        <v>2536.0825193273536</v>
      </c>
      <c r="AG67" s="104">
        <f t="shared" si="7"/>
        <v>2.7298460844531431E-2</v>
      </c>
      <c r="AH67" s="128">
        <v>2686.089766512353</v>
      </c>
      <c r="AI67" s="99">
        <f t="shared" si="4"/>
        <v>2731.1657900448422</v>
      </c>
      <c r="AJ67" s="104">
        <f t="shared" si="8"/>
        <v>2.9398342447956922E-2</v>
      </c>
    </row>
    <row r="68" spans="1:36" s="58" customFormat="1" ht="15" customHeight="1">
      <c r="A68" s="45" t="s">
        <v>354</v>
      </c>
      <c r="B68" s="46" t="s">
        <v>359</v>
      </c>
      <c r="C68" s="114">
        <v>1030701.05</v>
      </c>
      <c r="D68" s="105">
        <v>876800.18</v>
      </c>
      <c r="E68" s="50" t="e">
        <f>(#REF!-F68)</f>
        <v>#REF!</v>
      </c>
      <c r="F68" s="51">
        <f>'[1]10-11 for 12-13 Asmt'!AW67</f>
        <v>368032</v>
      </c>
      <c r="G68" s="54"/>
      <c r="H68" s="54" t="s">
        <v>361</v>
      </c>
      <c r="I68" s="57"/>
      <c r="J68" s="56"/>
      <c r="K68" s="57"/>
      <c r="L68" s="57">
        <f t="shared" ref="L68:L82" si="11">SUM(J68:K68)</f>
        <v>0</v>
      </c>
      <c r="M68" s="57">
        <v>64109.560414751439</v>
      </c>
      <c r="N68" s="57">
        <v>63502</v>
      </c>
      <c r="O68" s="57">
        <v>56095.536361500468</v>
      </c>
      <c r="P68" s="57">
        <v>58851</v>
      </c>
      <c r="Q68" s="57">
        <v>46143</v>
      </c>
      <c r="R68" s="57">
        <v>36843.107727258597</v>
      </c>
      <c r="S68" s="56">
        <v>39407</v>
      </c>
      <c r="T68" s="56">
        <v>32139</v>
      </c>
      <c r="U68" s="56">
        <v>32703</v>
      </c>
      <c r="V68" s="56">
        <v>14594</v>
      </c>
      <c r="W68" s="56">
        <v>11150</v>
      </c>
      <c r="X68" s="56">
        <v>14499</v>
      </c>
      <c r="Y68" s="56">
        <v>11889.527347975951</v>
      </c>
      <c r="Z68" s="56">
        <v>15911.50733037552</v>
      </c>
      <c r="AA68" s="57"/>
      <c r="AB68" s="46" t="s">
        <v>362</v>
      </c>
      <c r="AC68" s="105">
        <v>965235</v>
      </c>
      <c r="AD68" s="95">
        <f t="shared" si="2"/>
        <v>957578.74333333329</v>
      </c>
      <c r="AE68" s="129">
        <v>25888.58545805106</v>
      </c>
      <c r="AF68" s="99">
        <f t="shared" si="3"/>
        <v>26140.425830440607</v>
      </c>
      <c r="AG68" s="104">
        <f t="shared" si="7"/>
        <v>2.7298460844531424E-2</v>
      </c>
      <c r="AH68" s="128">
        <v>27880.015108670374</v>
      </c>
      <c r="AI68" s="99">
        <f t="shared" si="4"/>
        <v>28151.227817397579</v>
      </c>
      <c r="AJ68" s="104">
        <f t="shared" si="8"/>
        <v>2.9398342447956922E-2</v>
      </c>
    </row>
    <row r="69" spans="1:36" s="58" customFormat="1" ht="15" customHeight="1">
      <c r="A69" s="45" t="s">
        <v>363</v>
      </c>
      <c r="B69" s="46" t="s">
        <v>364</v>
      </c>
      <c r="C69" s="114">
        <v>81440.83</v>
      </c>
      <c r="D69" s="105">
        <v>75289.429999999993</v>
      </c>
      <c r="E69" s="50" t="e">
        <f>(#REF!-F69)</f>
        <v>#REF!</v>
      </c>
      <c r="F69" s="51">
        <f>'[1]10-11 for 12-13 Asmt'!AW68</f>
        <v>55324.9</v>
      </c>
      <c r="G69" s="54"/>
      <c r="H69" s="54"/>
      <c r="I69" s="57"/>
      <c r="J69" s="57"/>
      <c r="K69" s="57"/>
      <c r="L69" s="57">
        <f t="shared" si="11"/>
        <v>0</v>
      </c>
      <c r="M69" s="57">
        <v>10563.858287939283</v>
      </c>
      <c r="N69" s="57">
        <v>10596</v>
      </c>
      <c r="O69" s="57">
        <v>6000</v>
      </c>
      <c r="P69" s="57">
        <v>3000</v>
      </c>
      <c r="Q69" s="57">
        <v>1500</v>
      </c>
      <c r="R69" s="57">
        <v>7039.4993189481975</v>
      </c>
      <c r="S69" s="56">
        <v>5608</v>
      </c>
      <c r="T69" s="56">
        <v>4977</v>
      </c>
      <c r="U69" s="56">
        <v>5929</v>
      </c>
      <c r="V69" s="56">
        <v>6663</v>
      </c>
      <c r="W69" s="56">
        <v>5249</v>
      </c>
      <c r="X69" s="56">
        <v>4785</v>
      </c>
      <c r="Y69" s="56">
        <v>4460.5711873297732</v>
      </c>
      <c r="Z69" s="56">
        <v>3715.1033075618902</v>
      </c>
      <c r="AA69" s="57"/>
      <c r="AB69" s="46" t="s">
        <v>366</v>
      </c>
      <c r="AC69" s="105">
        <v>68110.490000000005</v>
      </c>
      <c r="AD69" s="95">
        <f t="shared" si="2"/>
        <v>74946.916666666672</v>
      </c>
      <c r="AE69" s="129">
        <v>1862.1993879175325</v>
      </c>
      <c r="AF69" s="99">
        <f t="shared" si="3"/>
        <v>2045.9354700433601</v>
      </c>
      <c r="AG69" s="104">
        <f t="shared" si="7"/>
        <v>2.7298460844531428E-2</v>
      </c>
      <c r="AH69" s="128">
        <v>2005.4454946804196</v>
      </c>
      <c r="AI69" s="99">
        <f t="shared" si="4"/>
        <v>2203.3151215851572</v>
      </c>
      <c r="AJ69" s="104">
        <f t="shared" si="8"/>
        <v>2.9398342447956926E-2</v>
      </c>
    </row>
    <row r="70" spans="1:36" s="58" customFormat="1" ht="15" customHeight="1">
      <c r="A70" s="45" t="s">
        <v>367</v>
      </c>
      <c r="B70" s="46" t="s">
        <v>368</v>
      </c>
      <c r="C70" s="114">
        <v>112635.98</v>
      </c>
      <c r="D70" s="105">
        <v>135502.63</v>
      </c>
      <c r="E70" s="50" t="e">
        <f>(#REF!-F70)</f>
        <v>#REF!</v>
      </c>
      <c r="F70" s="51">
        <f>'[1]10-11 for 12-13 Asmt'!AW69</f>
        <v>129872.85999999999</v>
      </c>
      <c r="G70" s="54" t="s">
        <v>370</v>
      </c>
      <c r="H70" s="54"/>
      <c r="I70" s="57"/>
      <c r="J70" s="56"/>
      <c r="K70" s="57"/>
      <c r="L70" s="57">
        <f t="shared" si="11"/>
        <v>0</v>
      </c>
      <c r="M70" s="57">
        <v>18743.99924610083</v>
      </c>
      <c r="N70" s="57">
        <v>16531</v>
      </c>
      <c r="O70" s="57">
        <v>14035.314784045429</v>
      </c>
      <c r="P70" s="57">
        <v>14012</v>
      </c>
      <c r="Q70" s="57">
        <v>14522</v>
      </c>
      <c r="R70" s="57">
        <v>5362.8737655455188</v>
      </c>
      <c r="S70" s="56">
        <v>4156</v>
      </c>
      <c r="T70" s="56">
        <v>2000</v>
      </c>
      <c r="U70" s="56">
        <v>1000</v>
      </c>
      <c r="V70" s="56">
        <v>525</v>
      </c>
      <c r="W70" s="56">
        <v>0</v>
      </c>
      <c r="X70" s="56">
        <v>0</v>
      </c>
      <c r="Y70" s="56">
        <v>0</v>
      </c>
      <c r="Z70" s="56">
        <v>0</v>
      </c>
      <c r="AA70" s="57"/>
      <c r="AB70" s="46" t="s">
        <v>368</v>
      </c>
      <c r="AC70" s="105">
        <v>197405.35</v>
      </c>
      <c r="AD70" s="95">
        <f t="shared" si="2"/>
        <v>148514.65333333332</v>
      </c>
      <c r="AE70" s="129">
        <v>4563.1495857612272</v>
      </c>
      <c r="AF70" s="99">
        <f t="shared" si="3"/>
        <v>4054.221448859159</v>
      </c>
      <c r="AG70" s="104">
        <f t="shared" ref="AG70:AG87" si="12">AF70/AD70</f>
        <v>2.7298460844531431E-2</v>
      </c>
      <c r="AH70" s="128">
        <v>4914.1610923582439</v>
      </c>
      <c r="AI70" s="99">
        <f t="shared" si="4"/>
        <v>4366.0846372329406</v>
      </c>
      <c r="AJ70" s="104">
        <f t="shared" ref="AJ70:AJ87" si="13">AI70/AD70</f>
        <v>2.9398342447956926E-2</v>
      </c>
    </row>
    <row r="71" spans="1:36" ht="15" customHeight="1">
      <c r="A71" s="45" t="s">
        <v>371</v>
      </c>
      <c r="B71" s="46" t="s">
        <v>310</v>
      </c>
      <c r="C71" s="114">
        <v>126985.02</v>
      </c>
      <c r="D71" s="105">
        <v>130716.71</v>
      </c>
      <c r="E71" s="50" t="e">
        <f>(#REF!-F71)</f>
        <v>#REF!</v>
      </c>
      <c r="F71" s="51">
        <f>'[1]10-11 for 12-13 Asmt'!AW70</f>
        <v>86011.309999999983</v>
      </c>
      <c r="G71" s="107"/>
      <c r="H71" s="107"/>
      <c r="I71" s="64"/>
      <c r="J71" s="63"/>
      <c r="K71" s="64"/>
      <c r="L71" s="64">
        <f t="shared" si="11"/>
        <v>0</v>
      </c>
      <c r="M71" s="64">
        <v>11668.961867920007</v>
      </c>
      <c r="N71" s="64">
        <v>12403</v>
      </c>
      <c r="O71" s="64">
        <v>10309.77667696473</v>
      </c>
      <c r="P71" s="64">
        <v>9573</v>
      </c>
      <c r="Q71" s="64">
        <v>9669</v>
      </c>
      <c r="R71" s="64">
        <v>9462.7418152855607</v>
      </c>
      <c r="S71" s="63">
        <v>9056</v>
      </c>
      <c r="T71" s="63">
        <v>7601</v>
      </c>
      <c r="U71" s="63">
        <v>8921</v>
      </c>
      <c r="V71" s="63">
        <v>8599</v>
      </c>
      <c r="W71" s="63">
        <v>5805</v>
      </c>
      <c r="X71" s="63">
        <v>4742</v>
      </c>
      <c r="Y71" s="63">
        <v>5287.1463292475601</v>
      </c>
      <c r="Z71" s="63">
        <v>5359.0363056415599</v>
      </c>
      <c r="AA71" s="64"/>
      <c r="AB71" s="65" t="s">
        <v>310</v>
      </c>
      <c r="AC71" s="107">
        <v>129328</v>
      </c>
      <c r="AD71" s="95">
        <f t="shared" ref="AD71:AD87" si="14">(C71+D71+AC71)/3</f>
        <v>129009.90999999999</v>
      </c>
      <c r="AE71" s="129">
        <v>3610.6567803810849</v>
      </c>
      <c r="AF71" s="99">
        <f t="shared" ref="AF71:AF87" si="15">($AD71/$AD$88)*$AF$5</f>
        <v>3521.7719766915234</v>
      </c>
      <c r="AG71" s="104">
        <f t="shared" si="12"/>
        <v>2.7298460844531428E-2</v>
      </c>
      <c r="AH71" s="128">
        <v>3888.3996096411679</v>
      </c>
      <c r="AI71" s="99">
        <f t="shared" ref="AI71:AI87" si="16">($AD71/$AD$88)*$AI$5</f>
        <v>3792.6775133601022</v>
      </c>
      <c r="AJ71" s="104">
        <f t="shared" si="13"/>
        <v>2.9398342447956926E-2</v>
      </c>
    </row>
    <row r="72" spans="1:36" ht="15" customHeight="1">
      <c r="A72" s="45" t="s">
        <v>371</v>
      </c>
      <c r="B72" s="46" t="s">
        <v>372</v>
      </c>
      <c r="C72" s="114">
        <f>81989.39+2941</f>
        <v>84930.39</v>
      </c>
      <c r="D72" s="105">
        <v>83411.5</v>
      </c>
      <c r="E72" s="50" t="e">
        <f>(#REF!-F72)</f>
        <v>#REF!</v>
      </c>
      <c r="F72" s="51">
        <f>'[1]10-11 for 12-13 Asmt'!AW71</f>
        <v>90359.289999999979</v>
      </c>
      <c r="G72" s="61"/>
      <c r="H72" s="61"/>
      <c r="I72" s="64"/>
      <c r="J72" s="63"/>
      <c r="K72" s="64"/>
      <c r="L72" s="64">
        <f t="shared" si="11"/>
        <v>0</v>
      </c>
      <c r="M72" s="64">
        <v>14609.55536235107</v>
      </c>
      <c r="N72" s="64">
        <v>14651</v>
      </c>
      <c r="O72" s="64">
        <v>12926.110860323866</v>
      </c>
      <c r="P72" s="64">
        <v>11836</v>
      </c>
      <c r="Q72" s="64">
        <v>12065</v>
      </c>
      <c r="R72" s="64">
        <v>11114.13370041232</v>
      </c>
      <c r="S72" s="63">
        <v>10862</v>
      </c>
      <c r="T72" s="63">
        <v>8946</v>
      </c>
      <c r="U72" s="63">
        <v>10364</v>
      </c>
      <c r="V72" s="63">
        <v>9458</v>
      </c>
      <c r="W72" s="63">
        <v>8782</v>
      </c>
      <c r="X72" s="63">
        <v>8245</v>
      </c>
      <c r="Y72" s="63">
        <v>9647.0178258788274</v>
      </c>
      <c r="Z72" s="63">
        <v>9802.2150950553405</v>
      </c>
      <c r="AA72" s="64"/>
      <c r="AB72" s="65" t="s">
        <v>372</v>
      </c>
      <c r="AC72" s="107">
        <v>84701</v>
      </c>
      <c r="AD72" s="95">
        <f t="shared" si="14"/>
        <v>84347.63</v>
      </c>
      <c r="AE72" s="129">
        <v>2290.7682283155568</v>
      </c>
      <c r="AF72" s="99">
        <f t="shared" si="15"/>
        <v>2302.5604748840246</v>
      </c>
      <c r="AG72" s="104">
        <f t="shared" si="12"/>
        <v>2.7298460844531428E-2</v>
      </c>
      <c r="AH72" s="128">
        <v>2466.9811689552153</v>
      </c>
      <c r="AI72" s="99">
        <f t="shared" si="16"/>
        <v>2479.680511413565</v>
      </c>
      <c r="AJ72" s="104">
        <f t="shared" si="13"/>
        <v>2.9398342447956922E-2</v>
      </c>
    </row>
    <row r="73" spans="1:36" s="58" customFormat="1" ht="15" customHeight="1">
      <c r="A73" s="45" t="s">
        <v>374</v>
      </c>
      <c r="B73" s="46" t="s">
        <v>375</v>
      </c>
      <c r="C73" s="114">
        <v>167675.47</v>
      </c>
      <c r="D73" s="105">
        <v>153269.81</v>
      </c>
      <c r="E73" s="50" t="e">
        <f>(#REF!-F73)</f>
        <v>#REF!</v>
      </c>
      <c r="F73" s="51">
        <f>'[1]10-11 for 12-13 Asmt'!AW72</f>
        <v>121978.56999999992</v>
      </c>
      <c r="G73" s="54" t="s">
        <v>377</v>
      </c>
      <c r="H73" s="54"/>
      <c r="I73" s="57"/>
      <c r="J73" s="56"/>
      <c r="K73" s="57"/>
      <c r="L73" s="57">
        <f t="shared" si="11"/>
        <v>0</v>
      </c>
      <c r="M73" s="57">
        <v>18328.723532255197</v>
      </c>
      <c r="N73" s="57">
        <v>17971</v>
      </c>
      <c r="O73" s="57">
        <v>18460.748555565304</v>
      </c>
      <c r="P73" s="57">
        <v>16215</v>
      </c>
      <c r="Q73" s="57">
        <v>14083</v>
      </c>
      <c r="R73" s="57">
        <v>18673.435906920888</v>
      </c>
      <c r="S73" s="56">
        <v>10285</v>
      </c>
      <c r="T73" s="56">
        <v>13993</v>
      </c>
      <c r="U73" s="56">
        <v>11855</v>
      </c>
      <c r="V73" s="56">
        <v>13734</v>
      </c>
      <c r="W73" s="56">
        <v>9851</v>
      </c>
      <c r="X73" s="56">
        <v>10675</v>
      </c>
      <c r="Y73" s="56">
        <v>9561.9895545194486</v>
      </c>
      <c r="Z73" s="56">
        <v>8264.73201942171</v>
      </c>
      <c r="AA73" s="57"/>
      <c r="AB73" s="46" t="s">
        <v>375</v>
      </c>
      <c r="AC73" s="105">
        <v>158251.91</v>
      </c>
      <c r="AD73" s="95">
        <f t="shared" si="14"/>
        <v>159732.3966666667</v>
      </c>
      <c r="AE73" s="129">
        <v>4294.8007618785796</v>
      </c>
      <c r="AF73" s="99">
        <f t="shared" si="15"/>
        <v>4360.4485760081634</v>
      </c>
      <c r="AG73" s="104">
        <f t="shared" si="12"/>
        <v>2.7298460844531428E-2</v>
      </c>
      <c r="AH73" s="128">
        <v>4625.1700512538546</v>
      </c>
      <c r="AI73" s="99">
        <f t="shared" si="16"/>
        <v>4695.8676972395606</v>
      </c>
      <c r="AJ73" s="104">
        <f t="shared" si="13"/>
        <v>2.9398342447956922E-2</v>
      </c>
    </row>
    <row r="74" spans="1:36" ht="15" customHeight="1">
      <c r="A74" s="45" t="s">
        <v>374</v>
      </c>
      <c r="B74" s="46" t="s">
        <v>204</v>
      </c>
      <c r="C74" s="114">
        <v>182376.51</v>
      </c>
      <c r="D74" s="105">
        <v>188825</v>
      </c>
      <c r="E74" s="50" t="e">
        <f>(#REF!-F74)</f>
        <v>#REF!</v>
      </c>
      <c r="F74" s="51">
        <f>'[1]10-11 for 12-13 Asmt'!AW73</f>
        <v>125018.25000000001</v>
      </c>
      <c r="G74" s="107"/>
      <c r="H74" s="107"/>
      <c r="I74" s="64"/>
      <c r="J74" s="63"/>
      <c r="K74" s="64"/>
      <c r="L74" s="64">
        <f t="shared" si="11"/>
        <v>0</v>
      </c>
      <c r="M74" s="64">
        <v>17383.836356213636</v>
      </c>
      <c r="N74" s="64">
        <v>20928</v>
      </c>
      <c r="O74" s="64">
        <v>20584.569882139334</v>
      </c>
      <c r="P74" s="64">
        <v>18802</v>
      </c>
      <c r="Q74" s="64">
        <v>15602</v>
      </c>
      <c r="R74" s="64">
        <v>18595.80484369686</v>
      </c>
      <c r="S74" s="63">
        <v>14972</v>
      </c>
      <c r="T74" s="63">
        <v>15596</v>
      </c>
      <c r="U74" s="63">
        <v>15488</v>
      </c>
      <c r="V74" s="63">
        <v>13787</v>
      </c>
      <c r="W74" s="63">
        <v>14256</v>
      </c>
      <c r="X74" s="63">
        <v>12272</v>
      </c>
      <c r="Y74" s="63">
        <v>13719.849274365215</v>
      </c>
      <c r="Z74" s="63">
        <v>10626.667006073014</v>
      </c>
      <c r="AA74" s="64"/>
      <c r="AB74" s="65" t="s">
        <v>204</v>
      </c>
      <c r="AC74" s="107">
        <v>177433.61</v>
      </c>
      <c r="AD74" s="95">
        <f t="shared" si="14"/>
        <v>182878.37333333332</v>
      </c>
      <c r="AE74" s="129">
        <v>4897.6883375350199</v>
      </c>
      <c r="AF74" s="99">
        <f t="shared" si="15"/>
        <v>4992.2981137515999</v>
      </c>
      <c r="AG74" s="104">
        <f t="shared" si="12"/>
        <v>2.7298460844531428E-2</v>
      </c>
      <c r="AH74" s="128">
        <v>5274.4335942684829</v>
      </c>
      <c r="AI74" s="99">
        <f t="shared" si="16"/>
        <v>5376.3210455786466</v>
      </c>
      <c r="AJ74" s="104">
        <f t="shared" si="13"/>
        <v>2.9398342447956922E-2</v>
      </c>
    </row>
    <row r="75" spans="1:36" s="58" customFormat="1" ht="15" customHeight="1">
      <c r="A75" s="45" t="s">
        <v>379</v>
      </c>
      <c r="B75" s="46" t="s">
        <v>380</v>
      </c>
      <c r="C75" s="114">
        <v>808400.04</v>
      </c>
      <c r="D75" s="105">
        <v>766304.43</v>
      </c>
      <c r="E75" s="50" t="e">
        <f>(#REF!-F75)</f>
        <v>#REF!</v>
      </c>
      <c r="F75" s="51">
        <f>'[1]10-11 for 12-13 Asmt'!AW74</f>
        <v>516895.47</v>
      </c>
      <c r="G75" s="54"/>
      <c r="H75" s="54" t="s">
        <v>382</v>
      </c>
      <c r="I75" s="57"/>
      <c r="J75" s="56"/>
      <c r="K75" s="57"/>
      <c r="L75" s="57">
        <f t="shared" si="11"/>
        <v>0</v>
      </c>
      <c r="M75" s="57">
        <v>91858.558507774855</v>
      </c>
      <c r="N75" s="57">
        <v>69668</v>
      </c>
      <c r="O75" s="57">
        <v>81417.509305159867</v>
      </c>
      <c r="P75" s="57">
        <v>78578</v>
      </c>
      <c r="Q75" s="57">
        <v>54689</v>
      </c>
      <c r="R75" s="57">
        <v>49878.503845836996</v>
      </c>
      <c r="S75" s="56">
        <v>59685</v>
      </c>
      <c r="T75" s="56">
        <v>51019</v>
      </c>
      <c r="U75" s="56">
        <v>46896</v>
      </c>
      <c r="V75" s="56">
        <v>41350</v>
      </c>
      <c r="W75" s="56">
        <v>35295</v>
      </c>
      <c r="X75" s="56">
        <v>37290</v>
      </c>
      <c r="Y75" s="56">
        <v>37550.289846017396</v>
      </c>
      <c r="Z75" s="56">
        <v>29869.061222925695</v>
      </c>
      <c r="AA75" s="57"/>
      <c r="AB75" s="46" t="s">
        <v>383</v>
      </c>
      <c r="AC75" s="105">
        <v>757161.36</v>
      </c>
      <c r="AD75" s="95">
        <f t="shared" si="14"/>
        <v>777288.61</v>
      </c>
      <c r="AE75" s="129">
        <v>20595.98229122374</v>
      </c>
      <c r="AF75" s="99">
        <f t="shared" si="15"/>
        <v>21218.782684985261</v>
      </c>
      <c r="AG75" s="104">
        <f t="shared" si="12"/>
        <v>2.7298460844531431E-2</v>
      </c>
      <c r="AH75" s="128">
        <v>22180.288621317875</v>
      </c>
      <c r="AI75" s="99">
        <f t="shared" si="16"/>
        <v>22850.996737676433</v>
      </c>
      <c r="AJ75" s="104">
        <f t="shared" si="13"/>
        <v>2.9398342447956922E-2</v>
      </c>
    </row>
    <row r="76" spans="1:36" ht="15" customHeight="1">
      <c r="A76" s="45" t="s">
        <v>384</v>
      </c>
      <c r="B76" s="46" t="s">
        <v>385</v>
      </c>
      <c r="C76" s="114">
        <v>173867.46</v>
      </c>
      <c r="D76" s="105">
        <v>177694.37</v>
      </c>
      <c r="E76" s="50" t="e">
        <f>(#REF!-F76)</f>
        <v>#REF!</v>
      </c>
      <c r="F76" s="51">
        <f>'[1]10-11 for 12-13 Asmt'!AW75</f>
        <v>147618.68</v>
      </c>
      <c r="G76" s="61"/>
      <c r="H76" s="61" t="s">
        <v>386</v>
      </c>
      <c r="I76" s="64"/>
      <c r="J76" s="63"/>
      <c r="K76" s="64"/>
      <c r="L76" s="64">
        <f t="shared" si="11"/>
        <v>0</v>
      </c>
      <c r="M76" s="64">
        <v>26366.753821129965</v>
      </c>
      <c r="N76" s="64">
        <v>21907</v>
      </c>
      <c r="O76" s="64">
        <v>21181.854466458579</v>
      </c>
      <c r="P76" s="64">
        <v>18355</v>
      </c>
      <c r="Q76" s="64">
        <v>14861</v>
      </c>
      <c r="R76" s="64">
        <v>14091</v>
      </c>
      <c r="S76" s="63">
        <v>14856</v>
      </c>
      <c r="T76" s="63">
        <v>11933</v>
      </c>
      <c r="U76" s="63">
        <v>14366</v>
      </c>
      <c r="V76" s="63">
        <v>26206</v>
      </c>
      <c r="W76" s="63">
        <v>11058</v>
      </c>
      <c r="X76" s="63">
        <v>10823</v>
      </c>
      <c r="Y76" s="63">
        <v>9869.3407163824959</v>
      </c>
      <c r="Z76" s="63">
        <v>8985.4799413491273</v>
      </c>
      <c r="AA76" s="64"/>
      <c r="AB76" s="65" t="s">
        <v>385</v>
      </c>
      <c r="AC76" s="107">
        <v>179290.03</v>
      </c>
      <c r="AD76" s="95">
        <f t="shared" si="14"/>
        <v>176950.62</v>
      </c>
      <c r="AE76" s="129">
        <v>4964.648594367357</v>
      </c>
      <c r="AF76" s="99">
        <f t="shared" si="15"/>
        <v>4830.47957148556</v>
      </c>
      <c r="AG76" s="104">
        <f t="shared" si="12"/>
        <v>2.7298460844531431E-2</v>
      </c>
      <c r="AH76" s="128">
        <v>5346.5446400879227</v>
      </c>
      <c r="AI76" s="99">
        <f t="shared" si="16"/>
        <v>5202.0549231382956</v>
      </c>
      <c r="AJ76" s="104">
        <f t="shared" si="13"/>
        <v>2.9398342447956926E-2</v>
      </c>
    </row>
    <row r="77" spans="1:36" ht="15" customHeight="1">
      <c r="A77" s="45" t="s">
        <v>384</v>
      </c>
      <c r="B77" s="46" t="s">
        <v>136</v>
      </c>
      <c r="C77" s="114">
        <v>669197.48</v>
      </c>
      <c r="D77" s="105">
        <v>674574.32</v>
      </c>
      <c r="E77" s="50" t="e">
        <f>(#REF!-F77)</f>
        <v>#REF!</v>
      </c>
      <c r="F77" s="51">
        <f>'[1]10-11 for 12-13 Asmt'!AW76</f>
        <v>412360.49000000046</v>
      </c>
      <c r="G77" s="107"/>
      <c r="H77" s="61"/>
      <c r="I77" s="64"/>
      <c r="J77" s="63"/>
      <c r="K77" s="64"/>
      <c r="L77" s="64">
        <f t="shared" si="11"/>
        <v>0</v>
      </c>
      <c r="M77" s="64">
        <v>62246.389197434197</v>
      </c>
      <c r="N77" s="64">
        <v>59894</v>
      </c>
      <c r="O77" s="64">
        <v>52416.473485218696</v>
      </c>
      <c r="P77" s="64">
        <v>53055</v>
      </c>
      <c r="Q77" s="64">
        <v>33998</v>
      </c>
      <c r="R77" s="64">
        <v>37572</v>
      </c>
      <c r="S77" s="63">
        <v>41859</v>
      </c>
      <c r="T77" s="63">
        <v>35123</v>
      </c>
      <c r="U77" s="63">
        <v>32529</v>
      </c>
      <c r="V77" s="63">
        <v>11748</v>
      </c>
      <c r="W77" s="63">
        <v>22279</v>
      </c>
      <c r="X77" s="63">
        <v>20518</v>
      </c>
      <c r="Y77" s="63">
        <v>20723.398460937566</v>
      </c>
      <c r="Z77" s="63">
        <v>19617</v>
      </c>
      <c r="AA77" s="64"/>
      <c r="AB77" s="65" t="s">
        <v>388</v>
      </c>
      <c r="AC77" s="107">
        <v>608428.92000000004</v>
      </c>
      <c r="AD77" s="95">
        <f t="shared" si="14"/>
        <v>650733.57333333325</v>
      </c>
      <c r="AE77" s="129">
        <v>17452.595762202152</v>
      </c>
      <c r="AF77" s="99">
        <f t="shared" si="15"/>
        <v>17764.024971862018</v>
      </c>
      <c r="AG77" s="104">
        <f t="shared" si="12"/>
        <v>2.7298460844531428E-2</v>
      </c>
      <c r="AH77" s="128">
        <v>18795.103128525396</v>
      </c>
      <c r="AI77" s="99">
        <f t="shared" si="16"/>
        <v>19130.488431236019</v>
      </c>
      <c r="AJ77" s="104">
        <f t="shared" si="13"/>
        <v>2.9398342447956922E-2</v>
      </c>
    </row>
    <row r="78" spans="1:36" ht="15" customHeight="1">
      <c r="A78" s="45" t="s">
        <v>389</v>
      </c>
      <c r="B78" s="46" t="s">
        <v>390</v>
      </c>
      <c r="C78" s="114">
        <v>473615.82</v>
      </c>
      <c r="D78" s="105">
        <v>491382.48</v>
      </c>
      <c r="E78" s="50" t="e">
        <f>(#REF!-F78)</f>
        <v>#REF!</v>
      </c>
      <c r="F78" s="51">
        <f>'[1]10-11 for 12-13 Asmt'!AW77</f>
        <v>255763.01999999996</v>
      </c>
      <c r="G78" s="61"/>
      <c r="H78" s="107"/>
      <c r="I78" s="64"/>
      <c r="J78" s="63"/>
      <c r="K78" s="64"/>
      <c r="L78" s="64">
        <f t="shared" si="11"/>
        <v>0</v>
      </c>
      <c r="M78" s="64">
        <v>39764.477883602711</v>
      </c>
      <c r="N78" s="64">
        <v>34247</v>
      </c>
      <c r="O78" s="64">
        <v>30550.854439719977</v>
      </c>
      <c r="P78" s="64">
        <v>29531</v>
      </c>
      <c r="Q78" s="64">
        <v>24932</v>
      </c>
      <c r="R78" s="64">
        <v>28941.161086072279</v>
      </c>
      <c r="S78" s="63">
        <v>24831</v>
      </c>
      <c r="T78" s="63">
        <v>20192</v>
      </c>
      <c r="U78" s="63">
        <v>18966</v>
      </c>
      <c r="V78" s="63">
        <v>17401</v>
      </c>
      <c r="W78" s="63">
        <v>18518</v>
      </c>
      <c r="X78" s="63">
        <v>14766</v>
      </c>
      <c r="Y78" s="63">
        <v>17313.199727858162</v>
      </c>
      <c r="Z78" s="63">
        <v>18602.904877707086</v>
      </c>
      <c r="AA78" s="64"/>
      <c r="AB78" s="65" t="s">
        <v>390</v>
      </c>
      <c r="AC78" s="107">
        <v>471431.31</v>
      </c>
      <c r="AD78" s="95">
        <f t="shared" si="14"/>
        <v>478809.87000000005</v>
      </c>
      <c r="AE78" s="129">
        <v>13076.663996868294</v>
      </c>
      <c r="AF78" s="99">
        <f t="shared" si="15"/>
        <v>13070.772488170183</v>
      </c>
      <c r="AG78" s="104">
        <f t="shared" si="12"/>
        <v>2.7298460844531424E-2</v>
      </c>
      <c r="AH78" s="128">
        <v>14082.561227396625</v>
      </c>
      <c r="AI78" s="99">
        <f t="shared" si="16"/>
        <v>14076.216525721737</v>
      </c>
      <c r="AJ78" s="104">
        <f t="shared" si="13"/>
        <v>2.9398342447956922E-2</v>
      </c>
    </row>
    <row r="79" spans="1:36" ht="15" customHeight="1">
      <c r="A79" s="45" t="s">
        <v>392</v>
      </c>
      <c r="B79" s="46" t="s">
        <v>393</v>
      </c>
      <c r="C79" s="114">
        <v>144673.85</v>
      </c>
      <c r="D79" s="105">
        <v>145419.34</v>
      </c>
      <c r="E79" s="50" t="e">
        <f>(#REF!-F79)</f>
        <v>#REF!</v>
      </c>
      <c r="F79" s="51">
        <f>'[1]10-11 for 12-13 Asmt'!AW78</f>
        <v>93519.179999999978</v>
      </c>
      <c r="G79" s="107"/>
      <c r="H79" s="61"/>
      <c r="I79" s="64"/>
      <c r="J79" s="63"/>
      <c r="K79" s="64"/>
      <c r="L79" s="64">
        <f t="shared" si="11"/>
        <v>0</v>
      </c>
      <c r="M79" s="64">
        <v>18081.935378794107</v>
      </c>
      <c r="N79" s="64">
        <v>17998</v>
      </c>
      <c r="O79" s="64">
        <v>16399.281087145398</v>
      </c>
      <c r="P79" s="64">
        <v>14423</v>
      </c>
      <c r="Q79" s="64">
        <v>13298</v>
      </c>
      <c r="R79" s="64">
        <v>12307.15163551176</v>
      </c>
      <c r="S79" s="63">
        <v>12564</v>
      </c>
      <c r="T79" s="63">
        <v>11929</v>
      </c>
      <c r="U79" s="63">
        <v>10700</v>
      </c>
      <c r="V79" s="63">
        <v>12834</v>
      </c>
      <c r="W79" s="63">
        <v>9930</v>
      </c>
      <c r="X79" s="63">
        <v>8286</v>
      </c>
      <c r="Y79" s="63">
        <v>8316.4621842992547</v>
      </c>
      <c r="Z79" s="63">
        <v>9010.7625585764181</v>
      </c>
      <c r="AA79" s="64"/>
      <c r="AB79" s="65" t="s">
        <v>395</v>
      </c>
      <c r="AC79" s="107">
        <v>151522.67000000001</v>
      </c>
      <c r="AD79" s="95">
        <f t="shared" si="14"/>
        <v>147205.28666666665</v>
      </c>
      <c r="AE79" s="129">
        <v>4205.1720384334476</v>
      </c>
      <c r="AF79" s="99">
        <f t="shared" si="15"/>
        <v>4018.4777541780245</v>
      </c>
      <c r="AG79" s="104">
        <f t="shared" si="12"/>
        <v>2.7298460844531431E-2</v>
      </c>
      <c r="AH79" s="128">
        <v>4528.6468106206357</v>
      </c>
      <c r="AI79" s="99">
        <f t="shared" si="16"/>
        <v>4327.5914275763334</v>
      </c>
      <c r="AJ79" s="104">
        <f t="shared" si="13"/>
        <v>2.9398342447956922E-2</v>
      </c>
    </row>
    <row r="80" spans="1:36" ht="15" customHeight="1">
      <c r="A80" s="45" t="s">
        <v>396</v>
      </c>
      <c r="B80" s="46" t="s">
        <v>397</v>
      </c>
      <c r="C80" s="114">
        <v>129825.72</v>
      </c>
      <c r="D80" s="105">
        <v>117402.1</v>
      </c>
      <c r="E80" s="50" t="e">
        <f>(#REF!-F80)</f>
        <v>#REF!</v>
      </c>
      <c r="F80" s="51">
        <f>'[1]10-11 for 12-13 Asmt'!AW79</f>
        <v>113348.72999999997</v>
      </c>
      <c r="G80" s="107"/>
      <c r="H80" s="61" t="s">
        <v>399</v>
      </c>
      <c r="I80" s="64"/>
      <c r="J80" s="63"/>
      <c r="K80" s="64"/>
      <c r="L80" s="64">
        <f t="shared" si="11"/>
        <v>0</v>
      </c>
      <c r="M80" s="64">
        <v>15243.348132952651</v>
      </c>
      <c r="N80" s="64">
        <v>15216</v>
      </c>
      <c r="O80" s="64">
        <v>13566.331344814391</v>
      </c>
      <c r="P80" s="64">
        <v>12389</v>
      </c>
      <c r="Q80" s="64">
        <v>11080</v>
      </c>
      <c r="R80" s="64">
        <v>10293.536943864126</v>
      </c>
      <c r="S80" s="63">
        <v>10375</v>
      </c>
      <c r="T80" s="63">
        <v>10074</v>
      </c>
      <c r="U80" s="63">
        <v>8987</v>
      </c>
      <c r="V80" s="63">
        <v>7217</v>
      </c>
      <c r="W80" s="63">
        <v>6068</v>
      </c>
      <c r="X80" s="63">
        <v>5334</v>
      </c>
      <c r="Y80" s="63">
        <v>3518.8976848263292</v>
      </c>
      <c r="Z80" s="63">
        <v>3751.9832462751824</v>
      </c>
      <c r="AA80" s="64"/>
      <c r="AB80" s="65" t="s">
        <v>397</v>
      </c>
      <c r="AC80" s="107">
        <v>122363.48</v>
      </c>
      <c r="AD80" s="95">
        <f t="shared" si="14"/>
        <v>123197.09999999999</v>
      </c>
      <c r="AE80" s="129">
        <v>3297.5968347370622</v>
      </c>
      <c r="AF80" s="99">
        <f t="shared" si="15"/>
        <v>3363.0912105098228</v>
      </c>
      <c r="AG80" s="104">
        <f t="shared" si="12"/>
        <v>2.7298460844531431E-2</v>
      </c>
      <c r="AH80" s="128">
        <v>3551.2581297168363</v>
      </c>
      <c r="AI80" s="99">
        <f t="shared" si="16"/>
        <v>3621.7905343951938</v>
      </c>
      <c r="AJ80" s="104">
        <f t="shared" si="13"/>
        <v>2.9398342447956926E-2</v>
      </c>
    </row>
    <row r="81" spans="1:36" s="58" customFormat="1" ht="15" customHeight="1">
      <c r="A81" s="45" t="s">
        <v>400</v>
      </c>
      <c r="B81" s="46" t="s">
        <v>401</v>
      </c>
      <c r="C81" s="114">
        <v>154520.67000000001</v>
      </c>
      <c r="D81" s="105">
        <v>175744.4</v>
      </c>
      <c r="E81" s="50" t="e">
        <f>(#REF!-F81)</f>
        <v>#REF!</v>
      </c>
      <c r="F81" s="51">
        <f>'[1]10-11 for 12-13 Asmt'!AW80</f>
        <v>146219.96</v>
      </c>
      <c r="G81" s="54" t="s">
        <v>403</v>
      </c>
      <c r="H81" s="66" t="s">
        <v>404</v>
      </c>
      <c r="I81" s="57"/>
      <c r="J81" s="56"/>
      <c r="K81" s="57"/>
      <c r="L81" s="57">
        <f t="shared" si="11"/>
        <v>0</v>
      </c>
      <c r="M81" s="57">
        <v>22861.414002998124</v>
      </c>
      <c r="N81" s="57">
        <v>25714</v>
      </c>
      <c r="O81" s="57">
        <v>24424.635416877092</v>
      </c>
      <c r="P81" s="57">
        <v>20450</v>
      </c>
      <c r="Q81" s="57">
        <v>19603</v>
      </c>
      <c r="R81" s="57">
        <v>18095.407758905079</v>
      </c>
      <c r="S81" s="56">
        <v>16598</v>
      </c>
      <c r="T81" s="56">
        <v>13840</v>
      </c>
      <c r="U81" s="56">
        <v>11497</v>
      </c>
      <c r="V81" s="56">
        <v>11452</v>
      </c>
      <c r="W81" s="56">
        <v>3694</v>
      </c>
      <c r="X81" s="56">
        <v>10501</v>
      </c>
      <c r="Y81" s="56">
        <v>6160.1282526327022</v>
      </c>
      <c r="Z81" s="56">
        <v>6469.0881050511043</v>
      </c>
      <c r="AA81" s="57"/>
      <c r="AB81" s="46" t="s">
        <v>405</v>
      </c>
      <c r="AC81" s="105">
        <v>155234.91</v>
      </c>
      <c r="AD81" s="95">
        <f t="shared" si="14"/>
        <v>161833.32666666666</v>
      </c>
      <c r="AE81" s="129">
        <v>4346.436348514595</v>
      </c>
      <c r="AF81" s="99">
        <f t="shared" si="15"/>
        <v>4417.800731350264</v>
      </c>
      <c r="AG81" s="104">
        <f t="shared" si="12"/>
        <v>2.7298460844531431E-2</v>
      </c>
      <c r="AH81" s="128">
        <v>4680.7776060926408</v>
      </c>
      <c r="AI81" s="99">
        <f t="shared" si="16"/>
        <v>4757.6315568387454</v>
      </c>
      <c r="AJ81" s="104">
        <f t="shared" si="13"/>
        <v>2.9398342447956922E-2</v>
      </c>
    </row>
    <row r="82" spans="1:36" s="58" customFormat="1" ht="15" customHeight="1">
      <c r="A82" s="45" t="s">
        <v>406</v>
      </c>
      <c r="B82" s="46" t="s">
        <v>136</v>
      </c>
      <c r="C82" s="114">
        <v>1010686.92</v>
      </c>
      <c r="D82" s="105">
        <v>949802.55</v>
      </c>
      <c r="E82" s="50" t="e">
        <f>(#REF!-F82)</f>
        <v>#REF!</v>
      </c>
      <c r="F82" s="51">
        <f>'[1]10-11 for 12-13 Asmt'!AW81</f>
        <v>637119.26</v>
      </c>
      <c r="G82" s="54" t="s">
        <v>408</v>
      </c>
      <c r="H82" s="54" t="s">
        <v>409</v>
      </c>
      <c r="I82" s="57"/>
      <c r="J82" s="56"/>
      <c r="K82" s="57"/>
      <c r="L82" s="57">
        <f t="shared" si="11"/>
        <v>0</v>
      </c>
      <c r="M82" s="57">
        <v>67455.835331199705</v>
      </c>
      <c r="N82" s="57">
        <v>70341</v>
      </c>
      <c r="O82" s="57">
        <v>80799.903487648931</v>
      </c>
      <c r="P82" s="57">
        <v>67578</v>
      </c>
      <c r="Q82" s="57">
        <v>58248</v>
      </c>
      <c r="R82" s="57">
        <v>57327.896372134775</v>
      </c>
      <c r="S82" s="56">
        <v>64056</v>
      </c>
      <c r="T82" s="56">
        <v>60211</v>
      </c>
      <c r="U82" s="56">
        <v>61292</v>
      </c>
      <c r="V82" s="56">
        <v>61038</v>
      </c>
      <c r="W82" s="56">
        <v>53439</v>
      </c>
      <c r="X82" s="56">
        <v>66917</v>
      </c>
      <c r="Y82" s="56">
        <v>52597.219602588943</v>
      </c>
      <c r="Z82" s="56">
        <v>56690.07810471495</v>
      </c>
      <c r="AA82" s="57"/>
      <c r="AB82" s="46" t="s">
        <v>138</v>
      </c>
      <c r="AC82" s="105">
        <v>908331</v>
      </c>
      <c r="AD82" s="95">
        <f t="shared" si="14"/>
        <v>956273.49000000011</v>
      </c>
      <c r="AE82" s="129">
        <v>25382.857213026786</v>
      </c>
      <c r="AF82" s="99">
        <f t="shared" si="15"/>
        <v>26104.794423428422</v>
      </c>
      <c r="AG82" s="104">
        <f t="shared" si="12"/>
        <v>2.7298460844531431E-2</v>
      </c>
      <c r="AH82" s="128">
        <v>27335.384690951923</v>
      </c>
      <c r="AI82" s="99">
        <f t="shared" si="16"/>
        <v>28112.855532922913</v>
      </c>
      <c r="AJ82" s="104">
        <f t="shared" si="13"/>
        <v>2.9398342447956922E-2</v>
      </c>
    </row>
    <row r="83" spans="1:36" ht="15" customHeight="1">
      <c r="A83" s="45" t="s">
        <v>410</v>
      </c>
      <c r="B83" s="46" t="s">
        <v>411</v>
      </c>
      <c r="C83" s="114">
        <v>0</v>
      </c>
      <c r="D83" s="105">
        <v>44197.47</v>
      </c>
      <c r="E83" s="50" t="e">
        <f>(#REF!-F83)</f>
        <v>#REF!</v>
      </c>
      <c r="F83" s="51">
        <f>'[1]10-11 for 12-13 Asmt'!AW82</f>
        <v>70341.7</v>
      </c>
      <c r="G83" s="61"/>
      <c r="H83" s="61" t="s">
        <v>412</v>
      </c>
      <c r="I83" s="64"/>
      <c r="J83" s="63"/>
      <c r="K83" s="64"/>
      <c r="L83" s="64">
        <v>2592</v>
      </c>
      <c r="M83" s="64">
        <v>1992.0370000000007</v>
      </c>
      <c r="N83" s="64">
        <v>1800</v>
      </c>
      <c r="O83" s="64">
        <v>1250</v>
      </c>
      <c r="P83" s="64">
        <v>1000</v>
      </c>
      <c r="Q83" s="64">
        <v>750</v>
      </c>
      <c r="R83" s="64">
        <v>500</v>
      </c>
      <c r="S83" s="63">
        <v>500</v>
      </c>
      <c r="T83" s="63">
        <v>500</v>
      </c>
      <c r="U83" s="63">
        <v>500</v>
      </c>
      <c r="V83" s="63">
        <v>1100</v>
      </c>
      <c r="W83" s="63">
        <v>1086</v>
      </c>
      <c r="X83" s="63">
        <v>1068</v>
      </c>
      <c r="Y83" s="63">
        <v>2890.9403211554372</v>
      </c>
      <c r="Z83" s="63">
        <v>700</v>
      </c>
      <c r="AA83" s="64"/>
      <c r="AB83" s="65" t="s">
        <v>411</v>
      </c>
      <c r="AC83" s="107">
        <v>41696.79</v>
      </c>
      <c r="AD83" s="95">
        <f t="shared" si="14"/>
        <v>28631.420000000002</v>
      </c>
      <c r="AE83" s="129">
        <v>1110.4172564257144</v>
      </c>
      <c r="AF83" s="99">
        <f t="shared" si="15"/>
        <v>781.59369779333406</v>
      </c>
      <c r="AG83" s="104">
        <f t="shared" si="12"/>
        <v>2.7298460844531428E-2</v>
      </c>
      <c r="AH83" s="128">
        <v>1195.8339684584616</v>
      </c>
      <c r="AI83" s="99">
        <f t="shared" si="16"/>
        <v>841.71628993128286</v>
      </c>
      <c r="AJ83" s="104">
        <f t="shared" si="13"/>
        <v>2.9398342447956922E-2</v>
      </c>
    </row>
    <row r="84" spans="1:36" s="58" customFormat="1" ht="15" customHeight="1">
      <c r="A84" s="45" t="s">
        <v>413</v>
      </c>
      <c r="B84" s="46" t="s">
        <v>166</v>
      </c>
      <c r="C84" s="114">
        <v>57420.37</v>
      </c>
      <c r="D84" s="105">
        <v>54942.74</v>
      </c>
      <c r="E84" s="50" t="e">
        <f>(#REF!-F84)</f>
        <v>#REF!</v>
      </c>
      <c r="F84" s="51">
        <f>'[1]10-11 for 12-13 Asmt'!AW83</f>
        <v>64842.590000000004</v>
      </c>
      <c r="G84" s="105" t="s">
        <v>414</v>
      </c>
      <c r="H84" s="54" t="s">
        <v>415</v>
      </c>
      <c r="I84" s="57"/>
      <c r="J84" s="56"/>
      <c r="K84" s="57"/>
      <c r="L84" s="57">
        <v>6860</v>
      </c>
      <c r="M84" s="57">
        <v>3250</v>
      </c>
      <c r="N84" s="57">
        <v>2500</v>
      </c>
      <c r="O84" s="57">
        <v>2500</v>
      </c>
      <c r="P84" s="57">
        <v>2000</v>
      </c>
      <c r="Q84" s="57">
        <v>1750</v>
      </c>
      <c r="R84" s="57">
        <v>2000</v>
      </c>
      <c r="S84" s="56">
        <v>1000</v>
      </c>
      <c r="T84" s="56">
        <v>1000</v>
      </c>
      <c r="U84" s="56">
        <v>0</v>
      </c>
      <c r="V84" s="56">
        <v>10496</v>
      </c>
      <c r="W84" s="56">
        <v>8440</v>
      </c>
      <c r="X84" s="56">
        <v>8054</v>
      </c>
      <c r="Y84" s="56">
        <v>6676.8141120411783</v>
      </c>
      <c r="Z84" s="56">
        <v>0</v>
      </c>
      <c r="AA84" s="57"/>
      <c r="AB84" s="46" t="s">
        <v>166</v>
      </c>
      <c r="AC84" s="105">
        <v>44246.07</v>
      </c>
      <c r="AD84" s="95">
        <f t="shared" si="14"/>
        <v>52203.06</v>
      </c>
      <c r="AE84" s="129">
        <v>1350.6031792672597</v>
      </c>
      <c r="AF84" s="99">
        <f t="shared" si="15"/>
        <v>1425.063189374725</v>
      </c>
      <c r="AG84" s="104">
        <f t="shared" si="12"/>
        <v>2.7298460844531431E-2</v>
      </c>
      <c r="AH84" s="128">
        <v>1454.4957315185875</v>
      </c>
      <c r="AI84" s="99">
        <f t="shared" si="16"/>
        <v>1534.6834347112422</v>
      </c>
      <c r="AJ84" s="104">
        <f t="shared" si="13"/>
        <v>2.9398342447956926E-2</v>
      </c>
    </row>
    <row r="85" spans="1:36" ht="15" customHeight="1">
      <c r="A85" s="45" t="s">
        <v>416</v>
      </c>
      <c r="B85" s="46" t="s">
        <v>197</v>
      </c>
      <c r="C85" s="114">
        <v>1509526.34</v>
      </c>
      <c r="D85" s="105">
        <v>1617353.61</v>
      </c>
      <c r="E85" s="50" t="e">
        <f>(#REF!-F85)</f>
        <v>#REF!</v>
      </c>
      <c r="F85" s="51">
        <f>'[1]10-11 for 12-13 Asmt'!AW84</f>
        <v>853588</v>
      </c>
      <c r="G85" s="61"/>
      <c r="H85" s="107" t="s">
        <v>418</v>
      </c>
      <c r="I85" s="64"/>
      <c r="J85" s="63"/>
      <c r="K85" s="64"/>
      <c r="L85" s="64">
        <f>SUM(J85:K85)</f>
        <v>0</v>
      </c>
      <c r="M85" s="64">
        <v>148550.42848765777</v>
      </c>
      <c r="N85" s="64">
        <v>132040</v>
      </c>
      <c r="O85" s="64">
        <v>128350.2694891244</v>
      </c>
      <c r="P85" s="64">
        <v>108169</v>
      </c>
      <c r="Q85" s="64">
        <v>104386</v>
      </c>
      <c r="R85" s="64">
        <v>88836.671327577424</v>
      </c>
      <c r="S85" s="63">
        <v>78831</v>
      </c>
      <c r="T85" s="63">
        <v>78584</v>
      </c>
      <c r="U85" s="63">
        <v>62598</v>
      </c>
      <c r="V85" s="63">
        <v>61735</v>
      </c>
      <c r="W85" s="63">
        <v>55649</v>
      </c>
      <c r="X85" s="63">
        <v>61236</v>
      </c>
      <c r="Y85" s="63">
        <v>37239.030666996485</v>
      </c>
      <c r="Z85" s="63">
        <v>40618.938993964024</v>
      </c>
      <c r="AA85" s="64"/>
      <c r="AB85" s="65" t="s">
        <v>419</v>
      </c>
      <c r="AC85" s="107">
        <v>1617679.39</v>
      </c>
      <c r="AD85" s="95">
        <f t="shared" si="14"/>
        <v>1581519.78</v>
      </c>
      <c r="AE85" s="129">
        <v>43443.155891687034</v>
      </c>
      <c r="AF85" s="99">
        <f t="shared" si="15"/>
        <v>43173.055789181963</v>
      </c>
      <c r="AG85" s="104">
        <f t="shared" si="12"/>
        <v>2.7298460844531431E-2</v>
      </c>
      <c r="AH85" s="128">
        <v>46784.937114124499</v>
      </c>
      <c r="AI85" s="99">
        <f t="shared" si="16"/>
        <v>46494.060080657502</v>
      </c>
      <c r="AJ85" s="104">
        <f t="shared" si="13"/>
        <v>2.9398342447956926E-2</v>
      </c>
    </row>
    <row r="86" spans="1:36" s="58" customFormat="1" ht="15" customHeight="1">
      <c r="A86" s="45" t="s">
        <v>420</v>
      </c>
      <c r="B86" s="46" t="s">
        <v>421</v>
      </c>
      <c r="C86" s="114">
        <v>508131.37</v>
      </c>
      <c r="D86" s="107">
        <v>484536.57</v>
      </c>
      <c r="E86" s="50" t="e">
        <f>(#REF!-F86)</f>
        <v>#REF!</v>
      </c>
      <c r="F86" s="51">
        <f>'[1]10-11 for 12-13 Asmt'!AW85</f>
        <v>265523.19</v>
      </c>
      <c r="G86" s="54" t="s">
        <v>422</v>
      </c>
      <c r="H86" s="105"/>
      <c r="I86" s="57"/>
      <c r="J86" s="56"/>
      <c r="K86" s="57"/>
      <c r="L86" s="57">
        <f>SUM(J86:K86)</f>
        <v>0</v>
      </c>
      <c r="M86" s="57">
        <v>36391.755862504535</v>
      </c>
      <c r="N86" s="57">
        <v>29153</v>
      </c>
      <c r="O86" s="57">
        <v>17264.115460451474</v>
      </c>
      <c r="P86" s="57">
        <v>27710</v>
      </c>
      <c r="Q86" s="57">
        <v>14280</v>
      </c>
      <c r="R86" s="57">
        <v>7140</v>
      </c>
      <c r="S86" s="56">
        <v>3570</v>
      </c>
      <c r="T86" s="56">
        <v>500</v>
      </c>
      <c r="U86" s="56">
        <v>9870</v>
      </c>
      <c r="V86" s="56">
        <v>8856</v>
      </c>
      <c r="W86" s="56">
        <v>9433</v>
      </c>
      <c r="X86" s="56">
        <v>12924</v>
      </c>
      <c r="Y86" s="56">
        <v>7917.5948031457801</v>
      </c>
      <c r="Z86" s="56">
        <v>13028.888359381739</v>
      </c>
      <c r="AA86" s="57"/>
      <c r="AB86" s="46" t="s">
        <v>423</v>
      </c>
      <c r="AC86" s="105">
        <v>483651.95</v>
      </c>
      <c r="AD86" s="95">
        <f t="shared" si="14"/>
        <v>492106.62999999995</v>
      </c>
      <c r="AE86" s="129">
        <v>13377.396093837035</v>
      </c>
      <c r="AF86" s="99">
        <f t="shared" si="15"/>
        <v>13433.753570389314</v>
      </c>
      <c r="AG86" s="104">
        <f t="shared" si="12"/>
        <v>2.7298460844531428E-2</v>
      </c>
      <c r="AH86" s="128">
        <v>14406.42656259373</v>
      </c>
      <c r="AI86" s="99">
        <f t="shared" si="16"/>
        <v>14467.11922965003</v>
      </c>
      <c r="AJ86" s="104">
        <f t="shared" si="13"/>
        <v>2.9398342447956922E-2</v>
      </c>
    </row>
    <row r="87" spans="1:36" s="58" customFormat="1" ht="15" customHeight="1" thickBot="1">
      <c r="A87" s="76" t="s">
        <v>420</v>
      </c>
      <c r="B87" s="77" t="s">
        <v>424</v>
      </c>
      <c r="C87" s="114">
        <v>71179.42</v>
      </c>
      <c r="D87" s="105">
        <v>63961.55</v>
      </c>
      <c r="E87" s="50" t="e">
        <f>(#REF!-F87)</f>
        <v>#REF!</v>
      </c>
      <c r="F87" s="51">
        <f>'[1]10-11 for 12-13 Asmt'!AW86</f>
        <v>70202.739999999991</v>
      </c>
      <c r="H87" s="54" t="s">
        <v>426</v>
      </c>
      <c r="I87" s="78"/>
      <c r="J87" s="56"/>
      <c r="K87" s="57"/>
      <c r="L87" s="57">
        <f>SUM(J87:K87)</f>
        <v>0</v>
      </c>
      <c r="M87" s="57">
        <v>11287.891076088283</v>
      </c>
      <c r="N87" s="78">
        <v>12515</v>
      </c>
      <c r="O87" s="57">
        <v>9750.2673569594426</v>
      </c>
      <c r="P87" s="57">
        <v>11622</v>
      </c>
      <c r="Q87" s="57">
        <v>10454</v>
      </c>
      <c r="R87" s="57">
        <v>10295.320952275961</v>
      </c>
      <c r="S87" s="56">
        <v>10877</v>
      </c>
      <c r="T87" s="56">
        <v>7120</v>
      </c>
      <c r="U87" s="56">
        <v>7710</v>
      </c>
      <c r="V87" s="56">
        <v>7981</v>
      </c>
      <c r="W87" s="56">
        <v>7297</v>
      </c>
      <c r="X87" s="56">
        <v>5513</v>
      </c>
      <c r="Y87" s="56">
        <v>5451.6605707295439</v>
      </c>
      <c r="Z87" s="56">
        <v>6410.1595638799517</v>
      </c>
      <c r="AA87" s="57"/>
      <c r="AB87" s="46" t="s">
        <v>427</v>
      </c>
      <c r="AC87" s="92">
        <v>83194.149999999994</v>
      </c>
      <c r="AD87" s="95">
        <f t="shared" si="14"/>
        <v>72778.373333333337</v>
      </c>
      <c r="AE87" s="129">
        <v>2081.4308306576095</v>
      </c>
      <c r="AF87" s="99">
        <f t="shared" si="15"/>
        <v>1986.7375747686904</v>
      </c>
      <c r="AG87" s="104">
        <f t="shared" si="12"/>
        <v>2.7298460844531428E-2</v>
      </c>
      <c r="AH87" s="128">
        <v>2241.5408945543486</v>
      </c>
      <c r="AI87" s="99">
        <f t="shared" si="16"/>
        <v>2139.5635420585895</v>
      </c>
      <c r="AJ87" s="104">
        <f t="shared" si="13"/>
        <v>2.9398342447956922E-2</v>
      </c>
    </row>
    <row r="88" spans="1:36" ht="25.5" customHeight="1" thickTop="1" thickBot="1">
      <c r="B88" s="2" t="s">
        <v>428</v>
      </c>
      <c r="C88" s="115">
        <f>SUM(C6:C87)</f>
        <v>23936517.70000001</v>
      </c>
      <c r="D88" s="93">
        <f>SUM(D6:D87)</f>
        <v>23860624.140000001</v>
      </c>
      <c r="E88" s="79" t="e">
        <f t="shared" ref="E88:F88" si="17">SUM(E6:E87)</f>
        <v>#REF!</v>
      </c>
      <c r="F88" s="79">
        <f t="shared" si="17"/>
        <v>15414457.84</v>
      </c>
      <c r="G88" s="79"/>
      <c r="H88" s="79"/>
      <c r="I88" s="82">
        <f>SUM(I6:I87)</f>
        <v>0</v>
      </c>
      <c r="J88" s="82">
        <f>SUM(J6:J87)</f>
        <v>0</v>
      </c>
      <c r="K88" s="82">
        <f>SUM(K6:K87)</f>
        <v>0</v>
      </c>
      <c r="L88" s="82"/>
      <c r="M88" s="79">
        <f>SUM(M6:M87)</f>
        <v>2138549.0829093284</v>
      </c>
      <c r="N88" s="82">
        <f>SUM(N6:N87)</f>
        <v>2138215</v>
      </c>
      <c r="O88" s="82">
        <f>SUM(O6:O87)</f>
        <v>2008481.5925206658</v>
      </c>
      <c r="P88" s="82">
        <f>SUM(P6:P87)</f>
        <v>1858831</v>
      </c>
      <c r="Q88" s="82">
        <f>SUM(Q6:Q87)</f>
        <v>1680166</v>
      </c>
      <c r="R88" s="82">
        <v>1630673.2811975535</v>
      </c>
      <c r="S88" s="82">
        <v>1567939</v>
      </c>
      <c r="T88" s="82">
        <v>1389633</v>
      </c>
      <c r="U88" s="82">
        <v>1335921</v>
      </c>
      <c r="V88" s="79">
        <v>1285998</v>
      </c>
      <c r="W88" s="82">
        <v>1129715</v>
      </c>
      <c r="X88" s="82">
        <v>1110789</v>
      </c>
      <c r="Y88" s="82">
        <v>994416</v>
      </c>
      <c r="Z88" s="79">
        <v>936698.08088946331</v>
      </c>
      <c r="AB88" s="2" t="s">
        <v>428</v>
      </c>
      <c r="AC88" s="93">
        <f>SUM(AC6:AC87)</f>
        <v>23635456.909999996</v>
      </c>
      <c r="AD88" s="102">
        <f>SUM(AD6:AD87)</f>
        <v>23810866.250000004</v>
      </c>
      <c r="AE88" s="126">
        <v>650000</v>
      </c>
      <c r="AF88" s="101">
        <f>SUM(AF6:AF87)</f>
        <v>649999.99999999965</v>
      </c>
      <c r="AG88" s="6"/>
      <c r="AH88" s="126">
        <v>700000</v>
      </c>
      <c r="AI88" s="125">
        <f>SUM(AI6:AI87)</f>
        <v>699999.99999999988</v>
      </c>
      <c r="AJ88" s="6"/>
    </row>
    <row r="89" spans="1:36" ht="12" thickTop="1">
      <c r="B89" s="83"/>
      <c r="C89" s="113"/>
      <c r="AB89" s="83"/>
    </row>
    <row r="90" spans="1:36">
      <c r="C90" s="112"/>
    </row>
    <row r="91" spans="1:36">
      <c r="C91" s="112"/>
    </row>
    <row r="92" spans="1:36">
      <c r="D92" s="106"/>
    </row>
  </sheetData>
  <mergeCells count="1">
    <mergeCell ref="A1:AD1"/>
  </mergeCells>
  <pageMargins left="0.45" right="0.2" top="0.75" bottom="0.75" header="0.3" footer="0.3"/>
  <pageSetup scale="87" fitToHeight="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A92"/>
  <sheetViews>
    <sheetView zoomScaleNormal="100" workbookViewId="0">
      <pane xSplit="2" ySplit="5" topLeftCell="C54" activePane="bottomRight" state="frozen"/>
      <selection pane="topRight" activeCell="C1" sqref="C1"/>
      <selection pane="bottomLeft" activeCell="A6" sqref="A6"/>
      <selection pane="bottomRight" activeCell="A64" sqref="A64:XFD64"/>
    </sheetView>
  </sheetViews>
  <sheetFormatPr defaultColWidth="9.7109375" defaultRowHeight="11.25"/>
  <cols>
    <col min="1" max="1" width="20.85546875" style="2" customWidth="1"/>
    <col min="2" max="2" width="17.85546875" style="2" customWidth="1"/>
    <col min="3" max="3" width="15.28515625" style="2" customWidth="1"/>
    <col min="4" max="4" width="12.28515625" style="7" hidden="1" customWidth="1"/>
    <col min="5" max="5" width="14.7109375" style="2" hidden="1" customWidth="1"/>
    <col min="6" max="6" width="45.85546875" style="2" hidden="1" customWidth="1"/>
    <col min="7" max="7" width="48.85546875" style="2" hidden="1" customWidth="1"/>
    <col min="8" max="8" width="17.5703125" style="2" hidden="1" customWidth="1"/>
    <col min="9" max="9" width="11.5703125" style="2" hidden="1" customWidth="1"/>
    <col min="10" max="11" width="17.5703125" style="2" hidden="1" customWidth="1"/>
    <col min="12" max="19" width="20.140625" style="2" hidden="1" customWidth="1"/>
    <col min="20" max="20" width="17.42578125" style="2" hidden="1" customWidth="1"/>
    <col min="21" max="21" width="18" style="2" hidden="1" customWidth="1"/>
    <col min="22" max="23" width="20.140625" style="2" hidden="1" customWidth="1"/>
    <col min="24" max="25" width="20.140625" style="8" hidden="1" customWidth="1"/>
    <col min="26" max="26" width="11.85546875" style="2" hidden="1" customWidth="1"/>
    <col min="27" max="27" width="25" style="2" hidden="1" customWidth="1"/>
    <col min="28" max="28" width="13.140625" style="2" customWidth="1"/>
    <col min="29" max="29" width="13" style="2" customWidth="1"/>
    <col min="30" max="30" width="14.140625" style="2" customWidth="1"/>
    <col min="31" max="31" width="11.28515625" style="2" customWidth="1"/>
    <col min="32" max="32" width="9" style="2" customWidth="1"/>
    <col min="33" max="33" width="11.28515625" style="2" customWidth="1"/>
    <col min="34" max="34" width="9" style="2" customWidth="1"/>
    <col min="35" max="16384" width="9.7109375" style="2"/>
  </cols>
  <sheetData>
    <row r="1" spans="1:36" ht="32.25" customHeight="1">
      <c r="A1" s="131" t="s">
        <v>488</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row>
    <row r="2" spans="1:36" ht="23.25" customHeight="1">
      <c r="A2" s="1"/>
      <c r="C2" s="9" t="s">
        <v>487</v>
      </c>
      <c r="D2" s="9" t="s">
        <v>435</v>
      </c>
      <c r="E2" s="9" t="s">
        <v>436</v>
      </c>
      <c r="F2" s="9" t="s">
        <v>437</v>
      </c>
      <c r="G2" s="9" t="s">
        <v>438</v>
      </c>
      <c r="H2" s="9" t="s">
        <v>439</v>
      </c>
      <c r="I2" s="9" t="s">
        <v>440</v>
      </c>
      <c r="J2" s="9" t="s">
        <v>441</v>
      </c>
      <c r="K2" s="9" t="s">
        <v>442</v>
      </c>
      <c r="L2" s="9" t="s">
        <v>443</v>
      </c>
      <c r="M2" s="9" t="s">
        <v>444</v>
      </c>
      <c r="N2" s="9" t="s">
        <v>445</v>
      </c>
      <c r="O2" s="9" t="s">
        <v>446</v>
      </c>
      <c r="P2" s="9" t="s">
        <v>447</v>
      </c>
      <c r="Q2" s="9" t="s">
        <v>448</v>
      </c>
      <c r="R2" s="9" t="s">
        <v>449</v>
      </c>
      <c r="S2" s="9" t="s">
        <v>450</v>
      </c>
      <c r="T2" s="9" t="s">
        <v>451</v>
      </c>
      <c r="U2" s="9" t="s">
        <v>452</v>
      </c>
      <c r="V2" s="9" t="s">
        <v>453</v>
      </c>
      <c r="W2" s="9" t="s">
        <v>454</v>
      </c>
      <c r="X2" s="9" t="s">
        <v>455</v>
      </c>
      <c r="Y2" s="9" t="s">
        <v>456</v>
      </c>
      <c r="Z2" s="9" t="s">
        <v>457</v>
      </c>
      <c r="AA2" s="9" t="s">
        <v>458</v>
      </c>
      <c r="AB2" s="9" t="s">
        <v>434</v>
      </c>
      <c r="AC2" s="9" t="s">
        <v>459</v>
      </c>
      <c r="AD2" s="9" t="s">
        <v>37</v>
      </c>
    </row>
    <row r="3" spans="1:36" s="9" customFormat="1" ht="12.75" customHeight="1">
      <c r="A3" s="12"/>
      <c r="C3" s="9" t="s">
        <v>9</v>
      </c>
      <c r="D3" s="9" t="s">
        <v>11</v>
      </c>
      <c r="E3" s="9" t="s">
        <v>461</v>
      </c>
      <c r="F3" s="9" t="s">
        <v>462</v>
      </c>
      <c r="G3" s="9" t="s">
        <v>463</v>
      </c>
      <c r="H3" s="9" t="s">
        <v>12</v>
      </c>
      <c r="I3" s="9" t="s">
        <v>464</v>
      </c>
      <c r="J3" s="9" t="s">
        <v>465</v>
      </c>
      <c r="K3" s="9" t="s">
        <v>466</v>
      </c>
      <c r="L3" s="9" t="s">
        <v>467</v>
      </c>
      <c r="M3" s="9" t="s">
        <v>468</v>
      </c>
      <c r="N3" s="9" t="s">
        <v>469</v>
      </c>
      <c r="O3" s="9" t="s">
        <v>470</v>
      </c>
      <c r="P3" s="9" t="s">
        <v>471</v>
      </c>
      <c r="Q3" s="9" t="s">
        <v>472</v>
      </c>
      <c r="R3" s="9" t="s">
        <v>473</v>
      </c>
      <c r="S3" s="9" t="s">
        <v>474</v>
      </c>
      <c r="T3" s="9" t="s">
        <v>475</v>
      </c>
      <c r="U3" s="9" t="s">
        <v>476</v>
      </c>
      <c r="V3" s="9" t="s">
        <v>477</v>
      </c>
      <c r="W3" s="9" t="s">
        <v>478</v>
      </c>
      <c r="X3" s="9" t="s">
        <v>479</v>
      </c>
      <c r="Y3" s="9" t="s">
        <v>480</v>
      </c>
      <c r="Z3" s="9" t="s">
        <v>481</v>
      </c>
      <c r="AA3" s="9" t="s">
        <v>482</v>
      </c>
      <c r="AB3" s="9" t="s">
        <v>9</v>
      </c>
      <c r="AC3" s="9" t="s">
        <v>9</v>
      </c>
      <c r="AD3" s="9" t="s">
        <v>95</v>
      </c>
      <c r="AF3" s="9" t="s">
        <v>490</v>
      </c>
      <c r="AH3" s="9" t="s">
        <v>490</v>
      </c>
      <c r="AJ3" s="9" t="s">
        <v>490</v>
      </c>
    </row>
    <row r="4" spans="1:36" s="9" customFormat="1">
      <c r="A4" s="9" t="s">
        <v>53</v>
      </c>
      <c r="B4" s="9" t="s">
        <v>54</v>
      </c>
      <c r="C4" s="9" t="s">
        <v>58</v>
      </c>
      <c r="D4" s="9" t="s">
        <v>58</v>
      </c>
      <c r="E4" s="9" t="s">
        <v>58</v>
      </c>
      <c r="F4" s="9" t="s">
        <v>58</v>
      </c>
      <c r="G4" s="9" t="s">
        <v>58</v>
      </c>
      <c r="H4" s="9" t="s">
        <v>58</v>
      </c>
      <c r="I4" s="9" t="s">
        <v>58</v>
      </c>
      <c r="J4" s="9" t="s">
        <v>58</v>
      </c>
      <c r="K4" s="9" t="s">
        <v>58</v>
      </c>
      <c r="L4" s="9" t="s">
        <v>58</v>
      </c>
      <c r="M4" s="9" t="s">
        <v>58</v>
      </c>
      <c r="N4" s="9" t="s">
        <v>58</v>
      </c>
      <c r="O4" s="9" t="s">
        <v>58</v>
      </c>
      <c r="P4" s="9" t="s">
        <v>58</v>
      </c>
      <c r="Q4" s="9" t="s">
        <v>58</v>
      </c>
      <c r="R4" s="9" t="s">
        <v>58</v>
      </c>
      <c r="S4" s="9" t="s">
        <v>58</v>
      </c>
      <c r="T4" s="9" t="s">
        <v>58</v>
      </c>
      <c r="U4" s="9" t="s">
        <v>58</v>
      </c>
      <c r="V4" s="9" t="s">
        <v>58</v>
      </c>
      <c r="W4" s="9" t="s">
        <v>58</v>
      </c>
      <c r="X4" s="9" t="s">
        <v>58</v>
      </c>
      <c r="Y4" s="9" t="s">
        <v>58</v>
      </c>
      <c r="Z4" s="9" t="s">
        <v>58</v>
      </c>
      <c r="AA4" s="9" t="s">
        <v>58</v>
      </c>
      <c r="AB4" s="9" t="s">
        <v>58</v>
      </c>
      <c r="AC4" s="9" t="s">
        <v>58</v>
      </c>
      <c r="AD4" s="9" t="s">
        <v>483</v>
      </c>
      <c r="AE4" s="9" t="s">
        <v>486</v>
      </c>
      <c r="AF4" s="9" t="s">
        <v>37</v>
      </c>
      <c r="AG4" s="9" t="s">
        <v>486</v>
      </c>
      <c r="AH4" s="9" t="s">
        <v>37</v>
      </c>
      <c r="AI4" s="9" t="s">
        <v>486</v>
      </c>
      <c r="AJ4" s="9" t="s">
        <v>37</v>
      </c>
    </row>
    <row r="5" spans="1:36" s="9" customFormat="1" ht="12" thickBot="1">
      <c r="C5" s="35" t="s">
        <v>95</v>
      </c>
      <c r="D5" s="35" t="s">
        <v>95</v>
      </c>
      <c r="E5" s="35" t="s">
        <v>95</v>
      </c>
      <c r="F5" s="35" t="s">
        <v>95</v>
      </c>
      <c r="G5" s="35" t="s">
        <v>95</v>
      </c>
      <c r="H5" s="35" t="s">
        <v>95</v>
      </c>
      <c r="I5" s="35" t="s">
        <v>95</v>
      </c>
      <c r="J5" s="35" t="s">
        <v>95</v>
      </c>
      <c r="K5" s="35" t="s">
        <v>95</v>
      </c>
      <c r="L5" s="35" t="s">
        <v>95</v>
      </c>
      <c r="M5" s="35" t="s">
        <v>95</v>
      </c>
      <c r="N5" s="35" t="s">
        <v>95</v>
      </c>
      <c r="O5" s="35" t="s">
        <v>95</v>
      </c>
      <c r="P5" s="35" t="s">
        <v>95</v>
      </c>
      <c r="Q5" s="35" t="s">
        <v>95</v>
      </c>
      <c r="R5" s="35" t="s">
        <v>95</v>
      </c>
      <c r="S5" s="35" t="s">
        <v>95</v>
      </c>
      <c r="T5" s="35" t="s">
        <v>95</v>
      </c>
      <c r="U5" s="35" t="s">
        <v>95</v>
      </c>
      <c r="V5" s="35" t="s">
        <v>95</v>
      </c>
      <c r="W5" s="35" t="s">
        <v>95</v>
      </c>
      <c r="X5" s="35" t="s">
        <v>95</v>
      </c>
      <c r="Y5" s="35" t="s">
        <v>95</v>
      </c>
      <c r="Z5" s="35" t="s">
        <v>95</v>
      </c>
      <c r="AA5" s="35" t="s">
        <v>95</v>
      </c>
      <c r="AB5" s="35" t="s">
        <v>95</v>
      </c>
      <c r="AC5" s="91" t="s">
        <v>95</v>
      </c>
      <c r="AD5" s="91" t="s">
        <v>484</v>
      </c>
      <c r="AE5" s="100">
        <v>600000</v>
      </c>
      <c r="AF5" s="9" t="s">
        <v>95</v>
      </c>
      <c r="AG5" s="100">
        <v>650000</v>
      </c>
      <c r="AH5" s="9" t="s">
        <v>95</v>
      </c>
      <c r="AI5" s="100">
        <v>700000</v>
      </c>
      <c r="AJ5" s="9" t="s">
        <v>95</v>
      </c>
    </row>
    <row r="6" spans="1:36" s="58" customFormat="1" ht="36.75" customHeight="1" thickTop="1">
      <c r="A6" s="45" t="s">
        <v>135</v>
      </c>
      <c r="B6" s="46" t="s">
        <v>136</v>
      </c>
      <c r="C6" s="105">
        <v>1225095.22</v>
      </c>
      <c r="D6" s="50" t="e">
        <f>(#REF!-E6)</f>
        <v>#REF!</v>
      </c>
      <c r="E6" s="51">
        <f>'[1]10-11 for 12-13 Asmt'!AW6</f>
        <v>649792.29999999993</v>
      </c>
      <c r="F6" s="53"/>
      <c r="G6" s="54"/>
      <c r="H6" s="55"/>
      <c r="I6" s="56"/>
      <c r="J6" s="57"/>
      <c r="K6" s="57">
        <f>SUM(I6:J6)</f>
        <v>0</v>
      </c>
      <c r="L6" s="57">
        <v>75952.834447283632</v>
      </c>
      <c r="M6" s="55">
        <v>62157</v>
      </c>
      <c r="N6" s="57">
        <v>48207.776583678802</v>
      </c>
      <c r="O6" s="57">
        <v>47257</v>
      </c>
      <c r="P6" s="57">
        <v>53990</v>
      </c>
      <c r="Q6" s="57">
        <v>47896.338584167788</v>
      </c>
      <c r="R6" s="56">
        <v>74385</v>
      </c>
      <c r="S6" s="56">
        <v>47198</v>
      </c>
      <c r="T6" s="56">
        <v>47103</v>
      </c>
      <c r="U6" s="56">
        <v>49124</v>
      </c>
      <c r="V6" s="56">
        <v>35946</v>
      </c>
      <c r="W6" s="56">
        <v>37797</v>
      </c>
      <c r="X6" s="56">
        <v>34244.324989071261</v>
      </c>
      <c r="Y6" s="56">
        <v>26436.365624535989</v>
      </c>
      <c r="Z6" s="57"/>
      <c r="AA6" s="46" t="s">
        <v>138</v>
      </c>
      <c r="AB6" s="48">
        <v>1253136.21</v>
      </c>
      <c r="AC6" s="90">
        <v>1250390.83</v>
      </c>
      <c r="AD6" s="95">
        <f>(C6+AB6+AC6)/3</f>
        <v>1242874.0866666667</v>
      </c>
      <c r="AE6" s="99">
        <f>(AD6/$AD$88)*$AE$5</f>
        <v>31779.921882459093</v>
      </c>
      <c r="AF6" s="104">
        <f>AE6/AD6</f>
        <v>2.556970349884069E-2</v>
      </c>
      <c r="AG6" s="99">
        <f t="shared" ref="AG6:AG37" si="0">(AD6/$AD$88)*$AG$5</f>
        <v>34428.24870599735</v>
      </c>
      <c r="AH6" s="104">
        <f>AG6/AD6</f>
        <v>2.7700512123744081E-2</v>
      </c>
      <c r="AI6" s="99">
        <f>(AD6/$AD$88)*$AI$5</f>
        <v>37076.575529535614</v>
      </c>
      <c r="AJ6" s="104">
        <f>AI6/AD6</f>
        <v>2.9831320748647475E-2</v>
      </c>
    </row>
    <row r="7" spans="1:36" ht="15" customHeight="1">
      <c r="A7" s="45" t="s">
        <v>139</v>
      </c>
      <c r="B7" s="46" t="s">
        <v>136</v>
      </c>
      <c r="C7" s="105">
        <v>40942.74</v>
      </c>
      <c r="D7" s="50" t="e">
        <f>(#REF!-E7)</f>
        <v>#REF!</v>
      </c>
      <c r="E7" s="51">
        <f>'[1]10-11 for 12-13 Asmt'!AW7</f>
        <v>27518.880000000005</v>
      </c>
      <c r="F7" s="61"/>
      <c r="G7" s="61"/>
      <c r="H7" s="62"/>
      <c r="I7" s="63"/>
      <c r="J7" s="62"/>
      <c r="K7" s="62">
        <v>1318</v>
      </c>
      <c r="L7" s="62">
        <v>1232.6480000000001</v>
      </c>
      <c r="M7" s="62">
        <v>1289</v>
      </c>
      <c r="N7" s="64">
        <v>500</v>
      </c>
      <c r="O7" s="64">
        <v>500</v>
      </c>
      <c r="P7" s="64">
        <v>500</v>
      </c>
      <c r="Q7" s="64">
        <v>500</v>
      </c>
      <c r="R7" s="63">
        <v>500</v>
      </c>
      <c r="S7" s="63">
        <v>500</v>
      </c>
      <c r="T7" s="63">
        <v>500</v>
      </c>
      <c r="U7" s="63">
        <v>525</v>
      </c>
      <c r="V7" s="63">
        <v>565</v>
      </c>
      <c r="W7" s="63">
        <v>1038</v>
      </c>
      <c r="X7" s="63">
        <v>1563.6212752836959</v>
      </c>
      <c r="Y7" s="63">
        <v>1801.2245231573754</v>
      </c>
      <c r="Z7" s="64"/>
      <c r="AA7" s="65" t="s">
        <v>136</v>
      </c>
      <c r="AB7" s="60">
        <v>39759.24</v>
      </c>
      <c r="AC7" s="60">
        <v>39585.64</v>
      </c>
      <c r="AD7" s="94">
        <f t="shared" ref="AD7:AD61" si="1">(C7+AB7+AC7)/3</f>
        <v>40095.873333333329</v>
      </c>
      <c r="AE7" s="99">
        <f t="shared" ref="AE7:AE70" si="2">(AD7/$AD$88)*$AE$5</f>
        <v>1025.2395926604063</v>
      </c>
      <c r="AF7" s="104">
        <f t="shared" ref="AF7:AF70" si="3">AE7/AD7</f>
        <v>2.5569703498840687E-2</v>
      </c>
      <c r="AG7" s="98">
        <f t="shared" si="0"/>
        <v>1110.6762253821068</v>
      </c>
      <c r="AH7" s="104">
        <f t="shared" ref="AH7:AH71" si="4">AG7/AD7</f>
        <v>2.7700512123744081E-2</v>
      </c>
      <c r="AI7" s="99">
        <f t="shared" ref="AI7:AI70" si="5">(AD7/$AD$88)*$AI$5</f>
        <v>1196.1128581038074</v>
      </c>
      <c r="AJ7" s="104">
        <f t="shared" ref="AJ7:AJ70" si="6">AI7/AD7</f>
        <v>2.9831320748647472E-2</v>
      </c>
    </row>
    <row r="8" spans="1:36" s="58" customFormat="1" ht="15" customHeight="1">
      <c r="A8" s="45" t="s">
        <v>141</v>
      </c>
      <c r="B8" s="46" t="s">
        <v>142</v>
      </c>
      <c r="C8" s="105">
        <v>450509.41</v>
      </c>
      <c r="D8" s="50" t="e">
        <f>(#REF!-E8)</f>
        <v>#REF!</v>
      </c>
      <c r="E8" s="51">
        <f>'[1]10-11 for 12-13 Asmt'!AW8</f>
        <v>141350.44000000018</v>
      </c>
      <c r="F8" s="54" t="s">
        <v>144</v>
      </c>
      <c r="G8" s="66" t="s">
        <v>145</v>
      </c>
      <c r="H8" s="57"/>
      <c r="I8" s="56"/>
      <c r="J8" s="57"/>
      <c r="K8" s="57">
        <f>SUM(I8:J8)</f>
        <v>0</v>
      </c>
      <c r="L8" s="57">
        <v>40218.094877835523</v>
      </c>
      <c r="M8" s="57">
        <v>39957</v>
      </c>
      <c r="N8" s="57">
        <v>30782.263384326066</v>
      </c>
      <c r="O8" s="57">
        <v>36340</v>
      </c>
      <c r="P8" s="57">
        <v>36161</v>
      </c>
      <c r="Q8" s="57">
        <v>27914.290105553901</v>
      </c>
      <c r="R8" s="56">
        <v>34223</v>
      </c>
      <c r="S8" s="56">
        <v>28616</v>
      </c>
      <c r="T8" s="56">
        <v>28664</v>
      </c>
      <c r="U8" s="56">
        <v>27664</v>
      </c>
      <c r="V8" s="56">
        <v>24716</v>
      </c>
      <c r="W8" s="56">
        <v>19565</v>
      </c>
      <c r="X8" s="56">
        <v>20082.824276612297</v>
      </c>
      <c r="Y8" s="56">
        <v>23734</v>
      </c>
      <c r="Z8" s="57"/>
      <c r="AA8" s="46" t="s">
        <v>142</v>
      </c>
      <c r="AB8" s="48">
        <v>442484</v>
      </c>
      <c r="AC8" s="48">
        <v>471046.94</v>
      </c>
      <c r="AD8" s="94">
        <f t="shared" si="1"/>
        <v>454680.11666666664</v>
      </c>
      <c r="AE8" s="99">
        <f t="shared" si="2"/>
        <v>11626.035769984959</v>
      </c>
      <c r="AF8" s="104">
        <f t="shared" si="3"/>
        <v>2.556970349884069E-2</v>
      </c>
      <c r="AG8" s="98">
        <f t="shared" si="0"/>
        <v>12594.872084150373</v>
      </c>
      <c r="AH8" s="104">
        <f t="shared" si="4"/>
        <v>2.7700512123744081E-2</v>
      </c>
      <c r="AI8" s="99">
        <f t="shared" si="5"/>
        <v>13563.708398315786</v>
      </c>
      <c r="AJ8" s="104">
        <f t="shared" si="6"/>
        <v>2.9831320748647472E-2</v>
      </c>
    </row>
    <row r="9" spans="1:36" s="58" customFormat="1" ht="15" customHeight="1">
      <c r="A9" s="45" t="s">
        <v>141</v>
      </c>
      <c r="B9" s="46" t="s">
        <v>146</v>
      </c>
      <c r="C9" s="105">
        <v>61004.39</v>
      </c>
      <c r="D9" s="50" t="e">
        <f>(#REF!-E9)</f>
        <v>#REF!</v>
      </c>
      <c r="E9" s="51">
        <f>'[1]10-11 for 12-13 Asmt'!AW9</f>
        <v>51764.350000000006</v>
      </c>
      <c r="F9" s="54"/>
      <c r="G9" s="54" t="s">
        <v>148</v>
      </c>
      <c r="H9" s="57"/>
      <c r="I9" s="56"/>
      <c r="J9" s="57"/>
      <c r="K9" s="57">
        <v>2602</v>
      </c>
      <c r="L9" s="57">
        <v>2773.0475000000006</v>
      </c>
      <c r="M9" s="57">
        <v>1967</v>
      </c>
      <c r="N9" s="57">
        <v>1250</v>
      </c>
      <c r="O9" s="57">
        <v>5335</v>
      </c>
      <c r="P9" s="57">
        <v>5869</v>
      </c>
      <c r="Q9" s="57">
        <v>6493.0289605767002</v>
      </c>
      <c r="R9" s="56">
        <v>5716</v>
      </c>
      <c r="S9" s="56">
        <v>5435</v>
      </c>
      <c r="T9" s="56">
        <v>5084</v>
      </c>
      <c r="U9" s="56">
        <v>4719</v>
      </c>
      <c r="V9" s="56">
        <v>1084</v>
      </c>
      <c r="W9" s="56">
        <v>1072</v>
      </c>
      <c r="X9" s="56">
        <v>2293.6002674896899</v>
      </c>
      <c r="Y9" s="56">
        <v>2096.7026722640344</v>
      </c>
      <c r="Z9" s="57"/>
      <c r="AA9" s="46" t="s">
        <v>146</v>
      </c>
      <c r="AB9" s="48">
        <v>48000.800000000003</v>
      </c>
      <c r="AC9" s="48">
        <v>56286.65</v>
      </c>
      <c r="AD9" s="94">
        <f t="shared" si="1"/>
        <v>55097.279999999999</v>
      </c>
      <c r="AE9" s="99">
        <f t="shared" si="2"/>
        <v>1408.821113192605</v>
      </c>
      <c r="AF9" s="104">
        <f t="shared" si="3"/>
        <v>2.5569703498840687E-2</v>
      </c>
      <c r="AG9" s="98">
        <f t="shared" si="0"/>
        <v>1526.2228726253222</v>
      </c>
      <c r="AH9" s="104">
        <f t="shared" si="4"/>
        <v>2.7700512123744081E-2</v>
      </c>
      <c r="AI9" s="99">
        <f t="shared" si="5"/>
        <v>1643.6246320580392</v>
      </c>
      <c r="AJ9" s="104">
        <f t="shared" si="6"/>
        <v>2.9831320748647468E-2</v>
      </c>
    </row>
    <row r="10" spans="1:36" s="58" customFormat="1" ht="15" customHeight="1">
      <c r="A10" s="45" t="s">
        <v>149</v>
      </c>
      <c r="B10" s="46" t="s">
        <v>150</v>
      </c>
      <c r="C10" s="105">
        <v>20816.689999999999</v>
      </c>
      <c r="D10" s="50" t="e">
        <f>(#REF!-E10)</f>
        <v>#REF!</v>
      </c>
      <c r="E10" s="51">
        <f>'[1]10-11 for 12-13 Asmt'!AW10</f>
        <v>44396.159999999996</v>
      </c>
      <c r="F10" s="54"/>
      <c r="G10" s="54" t="s">
        <v>152</v>
      </c>
      <c r="H10" s="57"/>
      <c r="I10" s="56"/>
      <c r="J10" s="57"/>
      <c r="K10" s="57">
        <v>1341</v>
      </c>
      <c r="L10" s="57">
        <v>1283.1315000000002</v>
      </c>
      <c r="M10" s="57">
        <v>1039</v>
      </c>
      <c r="N10" s="57">
        <v>500</v>
      </c>
      <c r="O10" s="57">
        <v>750</v>
      </c>
      <c r="P10" s="57">
        <v>4708</v>
      </c>
      <c r="Q10" s="57">
        <v>6240.5901998713998</v>
      </c>
      <c r="R10" s="56">
        <v>6499</v>
      </c>
      <c r="S10" s="56">
        <v>4400</v>
      </c>
      <c r="T10" s="56">
        <v>2200</v>
      </c>
      <c r="U10" s="56">
        <v>1100</v>
      </c>
      <c r="V10" s="56">
        <v>1093</v>
      </c>
      <c r="W10" s="56">
        <v>1074</v>
      </c>
      <c r="X10" s="56">
        <v>2301.7704581746525</v>
      </c>
      <c r="Y10" s="56">
        <v>2295.4342109768891</v>
      </c>
      <c r="Z10" s="57"/>
      <c r="AA10" s="46" t="s">
        <v>150</v>
      </c>
      <c r="AB10" s="48">
        <v>19819.84</v>
      </c>
      <c r="AC10" s="48">
        <v>21011.05</v>
      </c>
      <c r="AD10" s="94">
        <f t="shared" si="1"/>
        <v>20549.193333333333</v>
      </c>
      <c r="AE10" s="99">
        <f t="shared" si="2"/>
        <v>525.43678067368717</v>
      </c>
      <c r="AF10" s="104">
        <f t="shared" si="3"/>
        <v>2.5569703498840694E-2</v>
      </c>
      <c r="AG10" s="98">
        <f t="shared" si="0"/>
        <v>569.22317906316107</v>
      </c>
      <c r="AH10" s="104">
        <f t="shared" si="4"/>
        <v>2.7700512123744084E-2</v>
      </c>
      <c r="AI10" s="99">
        <f t="shared" si="5"/>
        <v>613.00957745263497</v>
      </c>
      <c r="AJ10" s="104">
        <f t="shared" si="6"/>
        <v>2.9831320748647472E-2</v>
      </c>
    </row>
    <row r="11" spans="1:36" s="58" customFormat="1" ht="15" customHeight="1">
      <c r="A11" s="45" t="s">
        <v>153</v>
      </c>
      <c r="B11" s="46" t="s">
        <v>154</v>
      </c>
      <c r="C11" s="105">
        <v>104875.35</v>
      </c>
      <c r="D11" s="50" t="e">
        <f>(#REF!-E11)</f>
        <v>#REF!</v>
      </c>
      <c r="E11" s="51">
        <f>'[1]10-11 for 12-13 Asmt'!AW11</f>
        <v>77750.400000000038</v>
      </c>
      <c r="F11" s="54"/>
      <c r="G11" s="54" t="s">
        <v>156</v>
      </c>
      <c r="H11" s="57"/>
      <c r="I11" s="56"/>
      <c r="J11" s="57"/>
      <c r="K11" s="57">
        <f>SUM(I11:J11)</f>
        <v>0</v>
      </c>
      <c r="L11" s="57">
        <v>13302.374058628653</v>
      </c>
      <c r="M11" s="57">
        <v>12766</v>
      </c>
      <c r="N11" s="57">
        <v>15181.993973236642</v>
      </c>
      <c r="O11" s="57">
        <v>8842</v>
      </c>
      <c r="P11" s="57">
        <v>7241</v>
      </c>
      <c r="Q11" s="57">
        <v>7500.8099729633195</v>
      </c>
      <c r="R11" s="56">
        <v>8401</v>
      </c>
      <c r="S11" s="56">
        <v>6674</v>
      </c>
      <c r="T11" s="56">
        <v>8066</v>
      </c>
      <c r="U11" s="56">
        <v>8536</v>
      </c>
      <c r="V11" s="56">
        <v>8150</v>
      </c>
      <c r="W11" s="56">
        <v>7508</v>
      </c>
      <c r="X11" s="56">
        <v>6456.472283727976</v>
      </c>
      <c r="Y11" s="56">
        <v>7605.4113619545669</v>
      </c>
      <c r="Z11" s="57"/>
      <c r="AA11" s="46" t="s">
        <v>154</v>
      </c>
      <c r="AB11" s="48">
        <v>93462.97</v>
      </c>
      <c r="AC11" s="48">
        <v>97289.35</v>
      </c>
      <c r="AD11" s="94">
        <f t="shared" si="1"/>
        <v>98542.556666666685</v>
      </c>
      <c r="AE11" s="99">
        <f t="shared" si="2"/>
        <v>2519.7039559843738</v>
      </c>
      <c r="AF11" s="104">
        <f t="shared" si="3"/>
        <v>2.5569703498840687E-2</v>
      </c>
      <c r="AG11" s="98">
        <f t="shared" si="0"/>
        <v>2729.6792856497386</v>
      </c>
      <c r="AH11" s="104">
        <f t="shared" si="4"/>
        <v>2.7700512123744081E-2</v>
      </c>
      <c r="AI11" s="99">
        <f t="shared" si="5"/>
        <v>2939.654615315103</v>
      </c>
      <c r="AJ11" s="104">
        <f t="shared" si="6"/>
        <v>2.9831320748647472E-2</v>
      </c>
    </row>
    <row r="12" spans="1:36" ht="15" customHeight="1">
      <c r="A12" s="45" t="s">
        <v>157</v>
      </c>
      <c r="B12" s="46" t="s">
        <v>158</v>
      </c>
      <c r="C12" s="105">
        <v>1510442.62</v>
      </c>
      <c r="D12" s="50" t="e">
        <f>(#REF!-E12)</f>
        <v>#REF!</v>
      </c>
      <c r="E12" s="51">
        <f>'[1]10-11 for 12-13 Asmt'!AW12</f>
        <v>743334</v>
      </c>
      <c r="F12" s="61" t="s">
        <v>160</v>
      </c>
      <c r="G12" s="61" t="s">
        <v>161</v>
      </c>
      <c r="H12" s="64"/>
      <c r="I12" s="63"/>
      <c r="J12" s="64"/>
      <c r="K12" s="64">
        <f>SUM(I12:J12)</f>
        <v>0</v>
      </c>
      <c r="L12" s="64">
        <v>98466.23731941302</v>
      </c>
      <c r="M12" s="64">
        <v>109322</v>
      </c>
      <c r="N12" s="64">
        <v>107958.76443700958</v>
      </c>
      <c r="O12" s="64">
        <v>102880</v>
      </c>
      <c r="P12" s="64">
        <v>82570</v>
      </c>
      <c r="Q12" s="64">
        <v>88698.197097187993</v>
      </c>
      <c r="R12" s="63">
        <v>81467</v>
      </c>
      <c r="S12" s="63">
        <v>74291</v>
      </c>
      <c r="T12" s="63">
        <v>79239</v>
      </c>
      <c r="U12" s="63">
        <v>66465</v>
      </c>
      <c r="V12" s="63">
        <v>62412</v>
      </c>
      <c r="W12" s="63">
        <v>63082</v>
      </c>
      <c r="X12" s="63">
        <v>53612.141988045507</v>
      </c>
      <c r="Y12" s="63">
        <v>48364</v>
      </c>
      <c r="Z12" s="64"/>
      <c r="AA12" s="65" t="s">
        <v>162</v>
      </c>
      <c r="AB12" s="60">
        <v>1468891.2</v>
      </c>
      <c r="AC12" s="60">
        <v>1446366.38</v>
      </c>
      <c r="AD12" s="94">
        <f t="shared" si="1"/>
        <v>1475233.4000000001</v>
      </c>
      <c r="AE12" s="99">
        <f t="shared" si="2"/>
        <v>37721.280629586654</v>
      </c>
      <c r="AF12" s="104">
        <f t="shared" si="3"/>
        <v>2.5569703498840694E-2</v>
      </c>
      <c r="AG12" s="98">
        <f t="shared" si="0"/>
        <v>40864.720682052204</v>
      </c>
      <c r="AH12" s="104">
        <f t="shared" si="4"/>
        <v>2.7700512123744081E-2</v>
      </c>
      <c r="AI12" s="99">
        <f t="shared" si="5"/>
        <v>44008.160734517762</v>
      </c>
      <c r="AJ12" s="104">
        <f t="shared" si="6"/>
        <v>2.9831320748647472E-2</v>
      </c>
    </row>
    <row r="13" spans="1:36" s="58" customFormat="1" ht="15" customHeight="1">
      <c r="A13" s="45" t="s">
        <v>163</v>
      </c>
      <c r="B13" s="46" t="s">
        <v>164</v>
      </c>
      <c r="C13" s="105">
        <v>104491.72</v>
      </c>
      <c r="D13" s="50" t="e">
        <f>(#REF!-E13)</f>
        <v>#REF!</v>
      </c>
      <c r="E13" s="51">
        <f>'[1]10-11 for 12-13 Asmt'!AW13</f>
        <v>72572.639999999985</v>
      </c>
      <c r="F13" s="54"/>
      <c r="G13" s="54"/>
      <c r="H13" s="57"/>
      <c r="I13" s="56"/>
      <c r="J13" s="57"/>
      <c r="K13" s="57">
        <f>SUM(I13:J13)</f>
        <v>0</v>
      </c>
      <c r="L13" s="57">
        <v>11715.905088598338</v>
      </c>
      <c r="M13" s="57">
        <v>14502</v>
      </c>
      <c r="N13" s="57">
        <v>13630.029460085105</v>
      </c>
      <c r="O13" s="57">
        <v>10083</v>
      </c>
      <c r="P13" s="57">
        <v>8687</v>
      </c>
      <c r="Q13" s="57">
        <v>7943.7905687187595</v>
      </c>
      <c r="R13" s="56">
        <v>7832</v>
      </c>
      <c r="S13" s="56">
        <v>7889</v>
      </c>
      <c r="T13" s="56">
        <v>7625</v>
      </c>
      <c r="U13" s="56">
        <v>7726</v>
      </c>
      <c r="V13" s="56">
        <v>6866</v>
      </c>
      <c r="W13" s="56">
        <v>6026</v>
      </c>
      <c r="X13" s="56">
        <v>6565.9668575960877</v>
      </c>
      <c r="Y13" s="56">
        <v>5429.9868625157842</v>
      </c>
      <c r="Z13" s="57"/>
      <c r="AA13" s="46" t="s">
        <v>164</v>
      </c>
      <c r="AB13" s="48">
        <v>101633.51</v>
      </c>
      <c r="AC13" s="48">
        <v>101657</v>
      </c>
      <c r="AD13" s="94">
        <f t="shared" si="1"/>
        <v>102594.07666666666</v>
      </c>
      <c r="AE13" s="99">
        <f t="shared" si="2"/>
        <v>2623.3001211039964</v>
      </c>
      <c r="AF13" s="104">
        <f t="shared" si="3"/>
        <v>2.556970349884069E-2</v>
      </c>
      <c r="AG13" s="98">
        <f t="shared" si="0"/>
        <v>2841.9084645293296</v>
      </c>
      <c r="AH13" s="104">
        <f t="shared" si="4"/>
        <v>2.7700512123744081E-2</v>
      </c>
      <c r="AI13" s="99">
        <f t="shared" si="5"/>
        <v>3060.5168079546625</v>
      </c>
      <c r="AJ13" s="104">
        <f t="shared" si="6"/>
        <v>2.9831320748647472E-2</v>
      </c>
    </row>
    <row r="14" spans="1:36" s="58" customFormat="1" ht="15" customHeight="1">
      <c r="A14" s="45" t="s">
        <v>165</v>
      </c>
      <c r="B14" s="46" t="s">
        <v>166</v>
      </c>
      <c r="C14" s="105">
        <v>1316686.3500000001</v>
      </c>
      <c r="D14" s="50" t="e">
        <f>(#REF!-E14)</f>
        <v>#REF!</v>
      </c>
      <c r="E14" s="51">
        <f>'[1]10-11 for 12-13 Asmt'!AW14</f>
        <v>685869.16999999993</v>
      </c>
      <c r="F14" s="54" t="s">
        <v>168</v>
      </c>
      <c r="G14" s="54" t="s">
        <v>169</v>
      </c>
      <c r="H14" s="57"/>
      <c r="I14" s="56"/>
      <c r="J14" s="57"/>
      <c r="K14" s="57">
        <f>SUM(I14:J14)</f>
        <v>0</v>
      </c>
      <c r="L14" s="57">
        <v>101545.85676773894</v>
      </c>
      <c r="M14" s="57">
        <v>116511</v>
      </c>
      <c r="N14" s="57">
        <v>99467.733212686057</v>
      </c>
      <c r="O14" s="57">
        <v>64763</v>
      </c>
      <c r="P14" s="57">
        <v>85912</v>
      </c>
      <c r="Q14" s="57">
        <v>73807.785577032526</v>
      </c>
      <c r="R14" s="56">
        <v>86742</v>
      </c>
      <c r="S14" s="56">
        <v>68717</v>
      </c>
      <c r="T14" s="56">
        <v>60755</v>
      </c>
      <c r="U14" s="56">
        <v>64232</v>
      </c>
      <c r="V14" s="56">
        <v>50703</v>
      </c>
      <c r="W14" s="56">
        <v>45614</v>
      </c>
      <c r="X14" s="56">
        <v>19198.980328194</v>
      </c>
      <c r="Y14" s="56">
        <v>23574.451447432588</v>
      </c>
      <c r="Z14" s="57"/>
      <c r="AA14" s="46" t="s">
        <v>166</v>
      </c>
      <c r="AB14" s="48">
        <v>1254835.44</v>
      </c>
      <c r="AC14" s="48">
        <v>1204072.06</v>
      </c>
      <c r="AD14" s="94">
        <f t="shared" si="1"/>
        <v>1258531.2833333334</v>
      </c>
      <c r="AE14" s="99">
        <f t="shared" si="2"/>
        <v>32180.271758848801</v>
      </c>
      <c r="AF14" s="104">
        <f t="shared" si="3"/>
        <v>2.556970349884069E-2</v>
      </c>
      <c r="AG14" s="98">
        <f t="shared" si="0"/>
        <v>34861.961072086204</v>
      </c>
      <c r="AH14" s="104">
        <f t="shared" si="4"/>
        <v>2.7700512123744084E-2</v>
      </c>
      <c r="AI14" s="99">
        <f t="shared" si="5"/>
        <v>37543.650385323606</v>
      </c>
      <c r="AJ14" s="104">
        <f t="shared" si="6"/>
        <v>2.9831320748647475E-2</v>
      </c>
    </row>
    <row r="15" spans="1:36" ht="15" customHeight="1">
      <c r="A15" s="45" t="s">
        <v>170</v>
      </c>
      <c r="B15" s="46" t="s">
        <v>171</v>
      </c>
      <c r="C15" s="105">
        <v>34936.31</v>
      </c>
      <c r="D15" s="50" t="e">
        <f>(#REF!-E15)</f>
        <v>#REF!</v>
      </c>
      <c r="E15" s="51">
        <f>'[1]10-11 for 12-13 Asmt'!AW15</f>
        <v>36789.160000000003</v>
      </c>
      <c r="F15" s="60"/>
      <c r="G15" s="60"/>
      <c r="H15" s="62"/>
      <c r="I15" s="63"/>
      <c r="J15" s="62"/>
      <c r="K15" s="62">
        <v>1857</v>
      </c>
      <c r="L15" s="62">
        <v>1871.5845000000002</v>
      </c>
      <c r="M15" s="62">
        <v>1911</v>
      </c>
      <c r="N15" s="64">
        <v>1000</v>
      </c>
      <c r="O15" s="64">
        <v>1000</v>
      </c>
      <c r="P15" s="64">
        <v>500</v>
      </c>
      <c r="Q15" s="64">
        <v>1000</v>
      </c>
      <c r="R15" s="63">
        <v>500</v>
      </c>
      <c r="S15" s="63">
        <v>500</v>
      </c>
      <c r="T15" s="63">
        <v>500</v>
      </c>
      <c r="U15" s="63">
        <v>525</v>
      </c>
      <c r="V15" s="63">
        <v>556</v>
      </c>
      <c r="W15" s="63">
        <v>1068</v>
      </c>
      <c r="X15" s="63">
        <v>1671.8480185382916</v>
      </c>
      <c r="Y15" s="63">
        <v>1000</v>
      </c>
      <c r="Z15" s="64"/>
      <c r="AA15" s="65" t="s">
        <v>171</v>
      </c>
      <c r="AB15" s="60">
        <v>33793.25</v>
      </c>
      <c r="AC15" s="60">
        <v>31554.25</v>
      </c>
      <c r="AD15" s="94">
        <f t="shared" si="1"/>
        <v>33427.936666666668</v>
      </c>
      <c r="AE15" s="99">
        <f t="shared" si="2"/>
        <v>854.74242914469176</v>
      </c>
      <c r="AF15" s="104">
        <f t="shared" si="3"/>
        <v>2.556970349884069E-2</v>
      </c>
      <c r="AG15" s="98">
        <f t="shared" si="0"/>
        <v>925.97096490674949</v>
      </c>
      <c r="AH15" s="104">
        <f t="shared" si="4"/>
        <v>2.7700512123744084E-2</v>
      </c>
      <c r="AI15" s="99">
        <f t="shared" si="5"/>
        <v>997.1995006688071</v>
      </c>
      <c r="AJ15" s="104">
        <f t="shared" si="6"/>
        <v>2.9831320748647475E-2</v>
      </c>
    </row>
    <row r="16" spans="1:36" ht="15" customHeight="1">
      <c r="A16" s="45" t="s">
        <v>172</v>
      </c>
      <c r="B16" s="46" t="s">
        <v>136</v>
      </c>
      <c r="C16" s="105">
        <v>1062777.8700000001</v>
      </c>
      <c r="D16" s="50" t="e">
        <f>(#REF!-E16)</f>
        <v>#REF!</v>
      </c>
      <c r="E16" s="51">
        <f>'[1]10-11 for 12-13 Asmt'!AW16</f>
        <v>512233.03000000026</v>
      </c>
      <c r="F16" s="60"/>
      <c r="G16" s="61" t="s">
        <v>174</v>
      </c>
      <c r="H16" s="64"/>
      <c r="I16" s="63"/>
      <c r="J16" s="64"/>
      <c r="K16" s="64">
        <f>SUM(I16:J16)</f>
        <v>0</v>
      </c>
      <c r="L16" s="67">
        <v>77448</v>
      </c>
      <c r="M16" s="64">
        <v>79774</v>
      </c>
      <c r="N16" s="64">
        <v>72406.645657163579</v>
      </c>
      <c r="O16" s="64">
        <v>65560</v>
      </c>
      <c r="P16" s="64">
        <v>51937</v>
      </c>
      <c r="Q16" s="64">
        <v>55789.760753420938</v>
      </c>
      <c r="R16" s="63">
        <v>65892</v>
      </c>
      <c r="S16" s="63">
        <v>51639</v>
      </c>
      <c r="T16" s="63">
        <v>46960</v>
      </c>
      <c r="U16" s="63">
        <v>44521</v>
      </c>
      <c r="V16" s="63">
        <v>32817</v>
      </c>
      <c r="W16" s="63">
        <v>33541</v>
      </c>
      <c r="X16" s="63">
        <v>31941.32359157156</v>
      </c>
      <c r="Y16" s="63">
        <v>35430.463689131931</v>
      </c>
      <c r="Z16" s="64"/>
      <c r="AA16" s="65" t="s">
        <v>136</v>
      </c>
      <c r="AB16" s="60">
        <v>1193740.43</v>
      </c>
      <c r="AC16" s="60">
        <v>1050090.01</v>
      </c>
      <c r="AD16" s="94">
        <f t="shared" si="1"/>
        <v>1102202.7699999998</v>
      </c>
      <c r="AE16" s="99">
        <f t="shared" si="2"/>
        <v>28182.998024500896</v>
      </c>
      <c r="AF16" s="104">
        <f t="shared" si="3"/>
        <v>2.556970349884069E-2</v>
      </c>
      <c r="AG16" s="98">
        <f t="shared" si="0"/>
        <v>30531.581193209302</v>
      </c>
      <c r="AH16" s="104">
        <f t="shared" si="4"/>
        <v>2.7700512123744081E-2</v>
      </c>
      <c r="AI16" s="99">
        <f t="shared" si="5"/>
        <v>32880.164361917712</v>
      </c>
      <c r="AJ16" s="104">
        <f t="shared" si="6"/>
        <v>2.9831320748647472E-2</v>
      </c>
    </row>
    <row r="17" spans="1:183" s="58" customFormat="1" ht="15" customHeight="1">
      <c r="A17" s="45" t="s">
        <v>175</v>
      </c>
      <c r="B17" s="46" t="s">
        <v>176</v>
      </c>
      <c r="C17" s="105">
        <v>75356.05</v>
      </c>
      <c r="D17" s="50" t="e">
        <f>(#REF!-E17)</f>
        <v>#REF!</v>
      </c>
      <c r="E17" s="51">
        <f>'[1]10-11 for 12-13 Asmt'!AW17</f>
        <v>92964.69</v>
      </c>
      <c r="F17" s="54"/>
      <c r="G17" s="54" t="s">
        <v>178</v>
      </c>
      <c r="H17" s="57"/>
      <c r="I17" s="56"/>
      <c r="J17" s="57"/>
      <c r="K17" s="57">
        <f>SUM(I17:J17)</f>
        <v>0</v>
      </c>
      <c r="L17" s="57">
        <v>15368.105132745834</v>
      </c>
      <c r="M17" s="57">
        <v>13611</v>
      </c>
      <c r="N17" s="57">
        <v>11924.129474367288</v>
      </c>
      <c r="O17" s="57">
        <v>12452</v>
      </c>
      <c r="P17" s="57">
        <v>11778</v>
      </c>
      <c r="Q17" s="57">
        <v>13927.81805886242</v>
      </c>
      <c r="R17" s="56">
        <v>15458</v>
      </c>
      <c r="S17" s="56">
        <v>11992</v>
      </c>
      <c r="T17" s="56">
        <v>13160</v>
      </c>
      <c r="U17" s="56">
        <v>16246</v>
      </c>
      <c r="V17" s="56">
        <v>13420</v>
      </c>
      <c r="W17" s="56">
        <v>21595</v>
      </c>
      <c r="X17" s="56">
        <v>11528.29891873178</v>
      </c>
      <c r="Y17" s="56">
        <v>12745.14571584962</v>
      </c>
      <c r="Z17" s="57"/>
      <c r="AA17" s="46" t="s">
        <v>179</v>
      </c>
      <c r="AB17" s="48">
        <v>88566.76</v>
      </c>
      <c r="AC17" s="48">
        <v>86233.51</v>
      </c>
      <c r="AD17" s="94">
        <f t="shared" si="1"/>
        <v>83385.440000000002</v>
      </c>
      <c r="AE17" s="99">
        <f t="shared" si="2"/>
        <v>2132.1409769203706</v>
      </c>
      <c r="AF17" s="104">
        <f t="shared" si="3"/>
        <v>2.556970349884069E-2</v>
      </c>
      <c r="AG17" s="98">
        <f t="shared" si="0"/>
        <v>2309.8193916637347</v>
      </c>
      <c r="AH17" s="104">
        <f t="shared" si="4"/>
        <v>2.7700512123744081E-2</v>
      </c>
      <c r="AI17" s="99">
        <f t="shared" si="5"/>
        <v>2487.4978064070988</v>
      </c>
      <c r="AJ17" s="104">
        <f t="shared" si="6"/>
        <v>2.9831320748647472E-2</v>
      </c>
    </row>
    <row r="18" spans="1:183" ht="15" customHeight="1">
      <c r="A18" s="45" t="s">
        <v>175</v>
      </c>
      <c r="B18" s="46" t="s">
        <v>180</v>
      </c>
      <c r="C18" s="105">
        <v>180588.25</v>
      </c>
      <c r="D18" s="50" t="e">
        <f>(#REF!-E18)</f>
        <v>#REF!</v>
      </c>
      <c r="E18" s="51">
        <f>'[1]10-11 for 12-13 Asmt'!AW18</f>
        <v>126355.13</v>
      </c>
      <c r="F18" s="60"/>
      <c r="G18" s="60"/>
      <c r="H18" s="64"/>
      <c r="I18" s="63"/>
      <c r="J18" s="64"/>
      <c r="K18" s="64">
        <f>SUM(I18:J18)</f>
        <v>0</v>
      </c>
      <c r="L18" s="64">
        <v>20451.820638794758</v>
      </c>
      <c r="M18" s="64">
        <v>23760</v>
      </c>
      <c r="N18" s="64">
        <v>22545.891834711681</v>
      </c>
      <c r="O18" s="64">
        <v>20883</v>
      </c>
      <c r="P18" s="64">
        <v>18025</v>
      </c>
      <c r="Q18" s="64">
        <v>18667.977092449437</v>
      </c>
      <c r="R18" s="63">
        <v>18022</v>
      </c>
      <c r="S18" s="63">
        <v>14393</v>
      </c>
      <c r="T18" s="63">
        <v>13219</v>
      </c>
      <c r="U18" s="63">
        <v>13671</v>
      </c>
      <c r="V18" s="63">
        <v>12619</v>
      </c>
      <c r="W18" s="63">
        <v>12534</v>
      </c>
      <c r="X18" s="63">
        <v>10972.199636438938</v>
      </c>
      <c r="Y18" s="63">
        <v>10852.928872003837</v>
      </c>
      <c r="Z18" s="64"/>
      <c r="AA18" s="65" t="s">
        <v>180</v>
      </c>
      <c r="AB18" s="60">
        <v>164834.14000000001</v>
      </c>
      <c r="AC18" s="60">
        <v>150930.04999999999</v>
      </c>
      <c r="AD18" s="94">
        <f t="shared" si="1"/>
        <v>165450.81333333332</v>
      </c>
      <c r="AE18" s="99">
        <f t="shared" si="2"/>
        <v>4230.5282405753705</v>
      </c>
      <c r="AF18" s="104">
        <f t="shared" si="3"/>
        <v>2.5569703498840687E-2</v>
      </c>
      <c r="AG18" s="98">
        <f t="shared" si="0"/>
        <v>4583.0722606233185</v>
      </c>
      <c r="AH18" s="104">
        <f t="shared" si="4"/>
        <v>2.7700512123744081E-2</v>
      </c>
      <c r="AI18" s="99">
        <f t="shared" si="5"/>
        <v>4935.6162806712664</v>
      </c>
      <c r="AJ18" s="104">
        <f t="shared" si="6"/>
        <v>2.9831320748647472E-2</v>
      </c>
    </row>
    <row r="19" spans="1:183" s="58" customFormat="1" ht="15" customHeight="1">
      <c r="A19" s="45" t="s">
        <v>182</v>
      </c>
      <c r="B19" s="46" t="s">
        <v>183</v>
      </c>
      <c r="C19" s="105">
        <v>0</v>
      </c>
      <c r="D19" s="50" t="e">
        <f>(#REF!-E19)</f>
        <v>#REF!</v>
      </c>
      <c r="E19" s="51">
        <f>'[1]10-11 for 12-13 Asmt'!AW19</f>
        <v>3633.4199999999983</v>
      </c>
      <c r="F19" s="54"/>
      <c r="G19" s="54" t="s">
        <v>185</v>
      </c>
      <c r="H19" s="57"/>
      <c r="I19" s="56"/>
      <c r="J19" s="57"/>
      <c r="K19" s="57">
        <v>50</v>
      </c>
      <c r="L19" s="57">
        <v>50</v>
      </c>
      <c r="M19" s="57">
        <v>50</v>
      </c>
      <c r="N19" s="57">
        <v>50</v>
      </c>
      <c r="O19" s="57">
        <v>50</v>
      </c>
      <c r="P19" s="57">
        <v>50</v>
      </c>
      <c r="Q19" s="57">
        <v>100</v>
      </c>
      <c r="R19" s="56">
        <v>100</v>
      </c>
      <c r="S19" s="56">
        <v>100</v>
      </c>
      <c r="T19" s="56">
        <v>100</v>
      </c>
      <c r="U19" s="56">
        <v>110</v>
      </c>
      <c r="V19" s="56">
        <v>112</v>
      </c>
      <c r="W19" s="56">
        <v>100</v>
      </c>
      <c r="X19" s="56">
        <v>120.63451327435267</v>
      </c>
      <c r="Y19" s="56">
        <v>56.988892955849465</v>
      </c>
      <c r="Z19" s="57"/>
      <c r="AA19" s="46" t="s">
        <v>183</v>
      </c>
      <c r="AB19" s="48">
        <v>3223.93</v>
      </c>
      <c r="AC19" s="48">
        <v>2868.34</v>
      </c>
      <c r="AD19" s="94">
        <f t="shared" si="1"/>
        <v>2030.7566666666669</v>
      </c>
      <c r="AE19" s="99">
        <f t="shared" si="2"/>
        <v>51.925845844960733</v>
      </c>
      <c r="AF19" s="104">
        <f t="shared" si="3"/>
        <v>2.5569703498840694E-2</v>
      </c>
      <c r="AG19" s="98">
        <f t="shared" si="0"/>
        <v>56.252999665374126</v>
      </c>
      <c r="AH19" s="104">
        <f t="shared" si="4"/>
        <v>2.7700512123744081E-2</v>
      </c>
      <c r="AI19" s="99">
        <f t="shared" si="5"/>
        <v>60.58015348578752</v>
      </c>
      <c r="AJ19" s="104">
        <f t="shared" si="6"/>
        <v>2.9831320748647472E-2</v>
      </c>
    </row>
    <row r="20" spans="1:183" s="58" customFormat="1" ht="15" customHeight="1">
      <c r="A20" s="45" t="s">
        <v>186</v>
      </c>
      <c r="B20" s="46" t="s">
        <v>136</v>
      </c>
      <c r="C20" s="105">
        <v>1072849.6299999999</v>
      </c>
      <c r="D20" s="50" t="e">
        <f>(#REF!-E20)</f>
        <v>#REF!</v>
      </c>
      <c r="E20" s="51">
        <f>'[1]10-11 for 12-13 Asmt'!AW20</f>
        <v>480242.65</v>
      </c>
      <c r="F20" s="54"/>
      <c r="G20" s="54" t="s">
        <v>188</v>
      </c>
      <c r="H20" s="57"/>
      <c r="I20" s="56"/>
      <c r="J20" s="57"/>
      <c r="K20" s="57">
        <f>SUM(I20:J20)</f>
        <v>0</v>
      </c>
      <c r="L20" s="57">
        <v>70260.562481583416</v>
      </c>
      <c r="M20" s="57">
        <v>75791</v>
      </c>
      <c r="N20" s="57">
        <v>67517.284164641358</v>
      </c>
      <c r="O20" s="57">
        <v>56273</v>
      </c>
      <c r="P20" s="57">
        <v>58033</v>
      </c>
      <c r="Q20" s="57">
        <v>56494.22735676603</v>
      </c>
      <c r="R20" s="56">
        <v>47930</v>
      </c>
      <c r="S20" s="56">
        <v>41956</v>
      </c>
      <c r="T20" s="56">
        <v>39491</v>
      </c>
      <c r="U20" s="56">
        <v>36718</v>
      </c>
      <c r="V20" s="56">
        <v>38242</v>
      </c>
      <c r="W20" s="56">
        <v>37008</v>
      </c>
      <c r="X20" s="56">
        <v>35914.662924201803</v>
      </c>
      <c r="Y20" s="56">
        <v>23640.412164192156</v>
      </c>
      <c r="Z20" s="57"/>
      <c r="AA20" s="46" t="s">
        <v>138</v>
      </c>
      <c r="AB20" s="48">
        <v>1070210.69</v>
      </c>
      <c r="AC20" s="48">
        <v>1047609.89</v>
      </c>
      <c r="AD20" s="94">
        <f t="shared" si="1"/>
        <v>1063556.7366666666</v>
      </c>
      <c r="AE20" s="99">
        <f t="shared" si="2"/>
        <v>27194.830410761249</v>
      </c>
      <c r="AF20" s="104">
        <f t="shared" si="3"/>
        <v>2.556970349884069E-2</v>
      </c>
      <c r="AG20" s="98">
        <f t="shared" si="0"/>
        <v>29461.066278324688</v>
      </c>
      <c r="AH20" s="104">
        <f t="shared" si="4"/>
        <v>2.7700512123744081E-2</v>
      </c>
      <c r="AI20" s="99">
        <f t="shared" si="5"/>
        <v>31727.302145888127</v>
      </c>
      <c r="AJ20" s="104">
        <f t="shared" si="6"/>
        <v>2.9831320748647472E-2</v>
      </c>
    </row>
    <row r="21" spans="1:183" s="58" customFormat="1" ht="15" customHeight="1">
      <c r="A21" s="45" t="s">
        <v>189</v>
      </c>
      <c r="B21" s="46" t="s">
        <v>136</v>
      </c>
      <c r="C21" s="105">
        <v>446870.46</v>
      </c>
      <c r="D21" s="50" t="e">
        <f>(#REF!-E21)</f>
        <v>#REF!</v>
      </c>
      <c r="E21" s="51">
        <f>'[1]10-11 for 12-13 Asmt'!AW21</f>
        <v>214514.40999999992</v>
      </c>
      <c r="F21" s="54"/>
      <c r="G21" s="54" t="s">
        <v>191</v>
      </c>
      <c r="H21" s="57"/>
      <c r="I21" s="56"/>
      <c r="J21" s="57"/>
      <c r="K21" s="57">
        <f>SUM(I21:J21)</f>
        <v>0</v>
      </c>
      <c r="L21" s="57">
        <v>44142.682936564539</v>
      </c>
      <c r="M21" s="57">
        <v>49970</v>
      </c>
      <c r="N21" s="57">
        <v>39923.378989567551</v>
      </c>
      <c r="O21" s="57">
        <v>36180</v>
      </c>
      <c r="P21" s="57">
        <v>25213</v>
      </c>
      <c r="Q21" s="57">
        <v>30565.012519560139</v>
      </c>
      <c r="R21" s="56">
        <v>34070</v>
      </c>
      <c r="S21" s="56">
        <v>29704</v>
      </c>
      <c r="T21" s="56">
        <v>30655</v>
      </c>
      <c r="U21" s="56">
        <v>24497</v>
      </c>
      <c r="V21" s="56">
        <v>23733</v>
      </c>
      <c r="W21" s="56">
        <v>19918</v>
      </c>
      <c r="X21" s="56">
        <v>20786.984285732582</v>
      </c>
      <c r="Y21" s="56">
        <v>16896.696494476924</v>
      </c>
      <c r="Z21" s="57"/>
      <c r="AA21" s="46" t="s">
        <v>136</v>
      </c>
      <c r="AB21" s="48">
        <v>384653.22000000003</v>
      </c>
      <c r="AC21" s="48">
        <v>395013.6</v>
      </c>
      <c r="AD21" s="94">
        <f t="shared" si="1"/>
        <v>408845.76</v>
      </c>
      <c r="AE21" s="99">
        <f t="shared" si="2"/>
        <v>10454.06485995818</v>
      </c>
      <c r="AF21" s="104">
        <f t="shared" si="3"/>
        <v>2.5569703498840687E-2</v>
      </c>
      <c r="AG21" s="98">
        <f t="shared" si="0"/>
        <v>11325.236931621363</v>
      </c>
      <c r="AH21" s="104">
        <f t="shared" si="4"/>
        <v>2.7700512123744081E-2</v>
      </c>
      <c r="AI21" s="99">
        <f t="shared" si="5"/>
        <v>12196.409003284543</v>
      </c>
      <c r="AJ21" s="104">
        <f t="shared" si="6"/>
        <v>2.9831320748647468E-2</v>
      </c>
    </row>
    <row r="22" spans="1:183" ht="15" customHeight="1">
      <c r="A22" s="45" t="s">
        <v>192</v>
      </c>
      <c r="B22" s="46" t="s">
        <v>193</v>
      </c>
      <c r="C22" s="105">
        <v>38633</v>
      </c>
      <c r="D22" s="50" t="e">
        <f>(#REF!-E22)</f>
        <v>#REF!</v>
      </c>
      <c r="E22" s="51">
        <f>'[1]10-11 for 12-13 Asmt'!AW22</f>
        <v>34385.039999999994</v>
      </c>
      <c r="F22" s="61"/>
      <c r="G22" s="61" t="s">
        <v>195</v>
      </c>
      <c r="H22" s="62"/>
      <c r="I22" s="63"/>
      <c r="J22" s="62"/>
      <c r="K22" s="62">
        <v>1837</v>
      </c>
      <c r="L22" s="62">
        <v>1697.6655000000001</v>
      </c>
      <c r="M22" s="62">
        <v>2404</v>
      </c>
      <c r="N22" s="64">
        <v>500</v>
      </c>
      <c r="O22" s="64">
        <v>5403</v>
      </c>
      <c r="P22" s="64">
        <v>3500</v>
      </c>
      <c r="Q22" s="64">
        <v>1750</v>
      </c>
      <c r="R22" s="63">
        <v>1750</v>
      </c>
      <c r="S22" s="63">
        <v>1000</v>
      </c>
      <c r="T22" s="63">
        <v>1000</v>
      </c>
      <c r="U22" s="63">
        <v>1100</v>
      </c>
      <c r="V22" s="63">
        <v>1091</v>
      </c>
      <c r="W22" s="63">
        <v>1089</v>
      </c>
      <c r="X22" s="63">
        <v>3255.8898516959321</v>
      </c>
      <c r="Y22" s="63">
        <v>3876.3007516927632</v>
      </c>
      <c r="Z22" s="64"/>
      <c r="AA22" s="65" t="s">
        <v>193</v>
      </c>
      <c r="AB22" s="60">
        <v>42676.75</v>
      </c>
      <c r="AC22" s="60">
        <v>39036</v>
      </c>
      <c r="AD22" s="94">
        <f t="shared" si="1"/>
        <v>40115.25</v>
      </c>
      <c r="AE22" s="99">
        <f t="shared" si="2"/>
        <v>1025.735048281869</v>
      </c>
      <c r="AF22" s="104">
        <f t="shared" si="3"/>
        <v>2.556970349884069E-2</v>
      </c>
      <c r="AG22" s="98">
        <f t="shared" si="0"/>
        <v>1111.2129689720248</v>
      </c>
      <c r="AH22" s="104">
        <f t="shared" si="4"/>
        <v>2.7700512123744081E-2</v>
      </c>
      <c r="AI22" s="99">
        <f t="shared" si="5"/>
        <v>1196.6908896621806</v>
      </c>
      <c r="AJ22" s="104">
        <f t="shared" si="6"/>
        <v>2.9831320748647472E-2</v>
      </c>
    </row>
    <row r="23" spans="1:183" ht="15" customHeight="1">
      <c r="A23" s="45" t="s">
        <v>196</v>
      </c>
      <c r="B23" s="46" t="s">
        <v>197</v>
      </c>
      <c r="C23" s="105">
        <v>92722.37</v>
      </c>
      <c r="D23" s="50" t="e">
        <f>(#REF!-E23)</f>
        <v>#REF!</v>
      </c>
      <c r="E23" s="51">
        <f>'[1]10-11 for 12-13 Asmt'!AW23</f>
        <v>105660.76999999999</v>
      </c>
      <c r="F23" s="61"/>
      <c r="G23" s="61" t="s">
        <v>198</v>
      </c>
      <c r="H23" s="64"/>
      <c r="I23" s="63"/>
      <c r="J23" s="64"/>
      <c r="K23" s="64">
        <f t="shared" ref="K23:K28" si="7">SUM(I23:J23)</f>
        <v>0</v>
      </c>
      <c r="L23" s="64">
        <v>18902.81449959895</v>
      </c>
      <c r="M23" s="64">
        <v>17767</v>
      </c>
      <c r="N23" s="64">
        <v>16510.605248453914</v>
      </c>
      <c r="O23" s="64">
        <v>18187</v>
      </c>
      <c r="P23" s="64">
        <v>18116</v>
      </c>
      <c r="Q23" s="64">
        <v>15658.434993602299</v>
      </c>
      <c r="R23" s="63">
        <v>13936</v>
      </c>
      <c r="S23" s="63">
        <v>13513</v>
      </c>
      <c r="T23" s="63">
        <v>11926</v>
      </c>
      <c r="U23" s="63">
        <v>8329</v>
      </c>
      <c r="V23" s="63">
        <v>8263</v>
      </c>
      <c r="W23" s="63">
        <v>6595</v>
      </c>
      <c r="X23" s="63">
        <v>6205.3213107096226</v>
      </c>
      <c r="Y23" s="63">
        <v>7262.897377498809</v>
      </c>
      <c r="Z23" s="64"/>
      <c r="AA23" s="65" t="s">
        <v>197</v>
      </c>
      <c r="AB23" s="60">
        <v>95232.85</v>
      </c>
      <c r="AC23" s="60">
        <v>86562.29</v>
      </c>
      <c r="AD23" s="94">
        <f t="shared" si="1"/>
        <v>91505.83666666667</v>
      </c>
      <c r="AE23" s="99">
        <f t="shared" si="2"/>
        <v>2339.7771119800118</v>
      </c>
      <c r="AF23" s="104">
        <f t="shared" si="3"/>
        <v>2.5569703498840694E-2</v>
      </c>
      <c r="AG23" s="98">
        <f t="shared" si="0"/>
        <v>2534.7585379783459</v>
      </c>
      <c r="AH23" s="104">
        <f t="shared" si="4"/>
        <v>2.7700512123744081E-2</v>
      </c>
      <c r="AI23" s="99">
        <f t="shared" si="5"/>
        <v>2729.7399639766804</v>
      </c>
      <c r="AJ23" s="104">
        <f t="shared" si="6"/>
        <v>2.9831320748647475E-2</v>
      </c>
    </row>
    <row r="24" spans="1:183" s="58" customFormat="1" ht="15" customHeight="1">
      <c r="A24" s="45" t="s">
        <v>199</v>
      </c>
      <c r="B24" s="46" t="s">
        <v>200</v>
      </c>
      <c r="C24" s="105">
        <v>32627</v>
      </c>
      <c r="D24" s="50" t="e">
        <f>(#REF!-E24)</f>
        <v>#REF!</v>
      </c>
      <c r="E24" s="51">
        <f>'[1]10-11 for 12-13 Asmt'!AW24</f>
        <v>39963.629999999997</v>
      </c>
      <c r="F24" s="54"/>
      <c r="G24" s="54"/>
      <c r="H24" s="57"/>
      <c r="I24" s="56"/>
      <c r="J24" s="57"/>
      <c r="K24" s="57">
        <f t="shared" si="7"/>
        <v>0</v>
      </c>
      <c r="L24" s="57">
        <v>1996.0610000000001</v>
      </c>
      <c r="M24" s="57">
        <v>1792</v>
      </c>
      <c r="N24" s="57">
        <v>1000</v>
      </c>
      <c r="O24" s="57">
        <v>8160</v>
      </c>
      <c r="P24" s="57">
        <v>8397</v>
      </c>
      <c r="Q24" s="57">
        <v>5892.0835284464792</v>
      </c>
      <c r="R24" s="56">
        <v>6315</v>
      </c>
      <c r="S24" s="56">
        <v>4400</v>
      </c>
      <c r="T24" s="56">
        <v>2200</v>
      </c>
      <c r="U24" s="56">
        <v>1098</v>
      </c>
      <c r="V24" s="56">
        <v>5901</v>
      </c>
      <c r="W24" s="56">
        <v>7600</v>
      </c>
      <c r="X24" s="56">
        <v>6597.9417670166758</v>
      </c>
      <c r="Y24" s="56">
        <v>6514.0537145599465</v>
      </c>
      <c r="Z24" s="57"/>
      <c r="AA24" s="46" t="s">
        <v>200</v>
      </c>
      <c r="AB24" s="48">
        <v>38537.410000000003</v>
      </c>
      <c r="AC24" s="48">
        <v>41738.730000000003</v>
      </c>
      <c r="AD24" s="94">
        <f t="shared" si="1"/>
        <v>37634.380000000005</v>
      </c>
      <c r="AE24" s="99">
        <f t="shared" si="2"/>
        <v>962.29993796270026</v>
      </c>
      <c r="AF24" s="104">
        <f t="shared" si="3"/>
        <v>2.556970349884069E-2</v>
      </c>
      <c r="AG24" s="98">
        <f t="shared" si="0"/>
        <v>1042.491599459592</v>
      </c>
      <c r="AH24" s="104">
        <f t="shared" si="4"/>
        <v>2.7700512123744081E-2</v>
      </c>
      <c r="AI24" s="99">
        <f t="shared" si="5"/>
        <v>1122.6832609564835</v>
      </c>
      <c r="AJ24" s="104">
        <f t="shared" si="6"/>
        <v>2.9831320748647472E-2</v>
      </c>
    </row>
    <row r="25" spans="1:183" s="58" customFormat="1" ht="15" customHeight="1">
      <c r="A25" s="45" t="s">
        <v>199</v>
      </c>
      <c r="B25" s="46" t="s">
        <v>202</v>
      </c>
      <c r="C25" s="105">
        <v>163276.93</v>
      </c>
      <c r="D25" s="50" t="e">
        <f>(#REF!-E25)</f>
        <v>#REF!</v>
      </c>
      <c r="E25" s="51">
        <f>'[1]10-11 for 12-13 Asmt'!AW25</f>
        <v>167946.73</v>
      </c>
      <c r="F25" s="54" t="s">
        <v>203</v>
      </c>
      <c r="G25" s="54"/>
      <c r="H25" s="57"/>
      <c r="I25" s="56"/>
      <c r="J25" s="57"/>
      <c r="K25" s="57">
        <f t="shared" si="7"/>
        <v>0</v>
      </c>
      <c r="L25" s="57">
        <v>24887.419809599836</v>
      </c>
      <c r="M25" s="57">
        <v>26995</v>
      </c>
      <c r="N25" s="57">
        <v>26968.817419172559</v>
      </c>
      <c r="O25" s="57">
        <v>27001</v>
      </c>
      <c r="P25" s="57">
        <v>21680</v>
      </c>
      <c r="Q25" s="57">
        <v>26720.235686694057</v>
      </c>
      <c r="R25" s="56">
        <v>26428</v>
      </c>
      <c r="S25" s="56">
        <v>19514</v>
      </c>
      <c r="T25" s="56">
        <v>22115</v>
      </c>
      <c r="U25" s="56">
        <v>17820</v>
      </c>
      <c r="V25" s="56">
        <v>15963</v>
      </c>
      <c r="W25" s="56">
        <v>17024</v>
      </c>
      <c r="X25" s="56">
        <v>15001.828926715798</v>
      </c>
      <c r="Y25" s="56">
        <v>15718.925617474719</v>
      </c>
      <c r="Z25" s="57"/>
      <c r="AA25" s="46" t="s">
        <v>202</v>
      </c>
      <c r="AB25" s="48">
        <v>165119.94</v>
      </c>
      <c r="AC25" s="48">
        <v>171544.12</v>
      </c>
      <c r="AD25" s="94">
        <f t="shared" si="1"/>
        <v>166646.99666666667</v>
      </c>
      <c r="AE25" s="99">
        <f t="shared" si="2"/>
        <v>4261.1142937389595</v>
      </c>
      <c r="AF25" s="104">
        <f t="shared" si="3"/>
        <v>2.556970349884069E-2</v>
      </c>
      <c r="AG25" s="98">
        <f t="shared" si="0"/>
        <v>4616.2071515505395</v>
      </c>
      <c r="AH25" s="104">
        <f t="shared" si="4"/>
        <v>2.7700512123744081E-2</v>
      </c>
      <c r="AI25" s="99">
        <f t="shared" si="5"/>
        <v>4971.3000093621195</v>
      </c>
      <c r="AJ25" s="104">
        <f t="shared" si="6"/>
        <v>2.9831320748647472E-2</v>
      </c>
    </row>
    <row r="26" spans="1:183" s="58" customFormat="1" ht="15" customHeight="1">
      <c r="A26" s="45" t="s">
        <v>199</v>
      </c>
      <c r="B26" s="46" t="s">
        <v>204</v>
      </c>
      <c r="C26" s="105">
        <v>101624.69</v>
      </c>
      <c r="D26" s="50" t="e">
        <f>(#REF!-E26)</f>
        <v>#REF!</v>
      </c>
      <c r="E26" s="51">
        <f>'[1]10-11 for 12-13 Asmt'!AW26</f>
        <v>84456.62</v>
      </c>
      <c r="F26" s="54" t="s">
        <v>206</v>
      </c>
      <c r="G26" s="48" t="s">
        <v>207</v>
      </c>
      <c r="H26" s="57"/>
      <c r="I26" s="56"/>
      <c r="J26" s="57"/>
      <c r="K26" s="57">
        <f t="shared" si="7"/>
        <v>0</v>
      </c>
      <c r="L26" s="57">
        <v>10919.911210982984</v>
      </c>
      <c r="M26" s="57">
        <v>13738</v>
      </c>
      <c r="N26" s="57">
        <v>13632.240926975679</v>
      </c>
      <c r="O26" s="57">
        <v>11134</v>
      </c>
      <c r="P26" s="57">
        <v>9507</v>
      </c>
      <c r="Q26" s="57">
        <v>10282.6805616889</v>
      </c>
      <c r="R26" s="56">
        <v>8737</v>
      </c>
      <c r="S26" s="56">
        <v>8815</v>
      </c>
      <c r="T26" s="56">
        <v>7966</v>
      </c>
      <c r="U26" s="56">
        <v>7914</v>
      </c>
      <c r="V26" s="56">
        <v>8436</v>
      </c>
      <c r="W26" s="56">
        <v>7035</v>
      </c>
      <c r="X26" s="56">
        <v>5695.9755879956874</v>
      </c>
      <c r="Y26" s="56">
        <v>6025.1330544229404</v>
      </c>
      <c r="Z26" s="57"/>
      <c r="AA26" s="46" t="s">
        <v>204</v>
      </c>
      <c r="AB26" s="48">
        <v>121862.95</v>
      </c>
      <c r="AC26" s="48">
        <v>93032.13</v>
      </c>
      <c r="AD26" s="94">
        <f t="shared" si="1"/>
        <v>105506.59000000001</v>
      </c>
      <c r="AE26" s="99">
        <f t="shared" si="2"/>
        <v>2697.7722234737503</v>
      </c>
      <c r="AF26" s="104">
        <f t="shared" si="3"/>
        <v>2.556970349884069E-2</v>
      </c>
      <c r="AG26" s="98">
        <f t="shared" si="0"/>
        <v>2922.5865754298961</v>
      </c>
      <c r="AH26" s="104">
        <f t="shared" si="4"/>
        <v>2.7700512123744078E-2</v>
      </c>
      <c r="AI26" s="99">
        <f t="shared" si="5"/>
        <v>3147.400927386042</v>
      </c>
      <c r="AJ26" s="104">
        <f t="shared" si="6"/>
        <v>2.9831320748647468E-2</v>
      </c>
    </row>
    <row r="27" spans="1:183" s="58" customFormat="1" ht="15" customHeight="1">
      <c r="A27" s="45" t="s">
        <v>208</v>
      </c>
      <c r="B27" s="46" t="s">
        <v>209</v>
      </c>
      <c r="C27" s="105">
        <v>344660.7</v>
      </c>
      <c r="D27" s="50" t="e">
        <f>(#REF!-E27)</f>
        <v>#REF!</v>
      </c>
      <c r="E27" s="51">
        <f>'[1]10-11 for 12-13 Asmt'!AW27</f>
        <v>244603.73999999996</v>
      </c>
      <c r="F27" s="54"/>
      <c r="G27" s="54" t="s">
        <v>211</v>
      </c>
      <c r="H27" s="57"/>
      <c r="I27" s="56"/>
      <c r="J27" s="57"/>
      <c r="K27" s="57">
        <f t="shared" si="7"/>
        <v>0</v>
      </c>
      <c r="L27" s="57">
        <v>26585.386340171706</v>
      </c>
      <c r="M27" s="57">
        <v>18565</v>
      </c>
      <c r="N27" s="57">
        <v>23146.417390152255</v>
      </c>
      <c r="O27" s="57">
        <v>22430</v>
      </c>
      <c r="P27" s="57">
        <v>17981</v>
      </c>
      <c r="Q27" s="57">
        <v>22325.222604460356</v>
      </c>
      <c r="R27" s="56">
        <v>20632</v>
      </c>
      <c r="S27" s="56">
        <v>20551</v>
      </c>
      <c r="T27" s="56">
        <v>19955</v>
      </c>
      <c r="U27" s="56">
        <v>21143</v>
      </c>
      <c r="V27" s="56">
        <v>17530</v>
      </c>
      <c r="W27" s="56">
        <v>19532</v>
      </c>
      <c r="X27" s="56">
        <v>16345.928589999787</v>
      </c>
      <c r="Y27" s="56">
        <v>14275.500267356036</v>
      </c>
      <c r="Z27" s="57"/>
      <c r="AA27" s="46" t="s">
        <v>212</v>
      </c>
      <c r="AB27" s="48">
        <v>313935.99</v>
      </c>
      <c r="AC27" s="48">
        <v>277772.53999999998</v>
      </c>
      <c r="AD27" s="94">
        <f t="shared" si="1"/>
        <v>312123.07666666666</v>
      </c>
      <c r="AE27" s="99">
        <f t="shared" si="2"/>
        <v>7980.8945255125882</v>
      </c>
      <c r="AF27" s="104">
        <f t="shared" si="3"/>
        <v>2.5569703498840694E-2</v>
      </c>
      <c r="AG27" s="98">
        <f t="shared" si="0"/>
        <v>8645.9690693053035</v>
      </c>
      <c r="AH27" s="104">
        <f t="shared" si="4"/>
        <v>2.7700512123744081E-2</v>
      </c>
      <c r="AI27" s="99">
        <f t="shared" si="5"/>
        <v>9311.0436130980197</v>
      </c>
      <c r="AJ27" s="104">
        <f t="shared" si="6"/>
        <v>2.9831320748647475E-2</v>
      </c>
    </row>
    <row r="28" spans="1:183" ht="15" customHeight="1">
      <c r="A28" s="45" t="s">
        <v>213</v>
      </c>
      <c r="B28" s="46" t="s">
        <v>214</v>
      </c>
      <c r="C28" s="105">
        <v>170714.84</v>
      </c>
      <c r="D28" s="50" t="e">
        <f>(#REF!-E28)</f>
        <v>#REF!</v>
      </c>
      <c r="E28" s="51">
        <f>'[1]10-11 for 12-13 Asmt'!AW28</f>
        <v>127042.29000000001</v>
      </c>
      <c r="F28" s="60"/>
      <c r="G28" s="60"/>
      <c r="H28" s="64"/>
      <c r="I28" s="63"/>
      <c r="J28" s="64"/>
      <c r="K28" s="64">
        <f t="shared" si="7"/>
        <v>0</v>
      </c>
      <c r="L28" s="64">
        <v>14028.478926717184</v>
      </c>
      <c r="M28" s="64">
        <v>12035</v>
      </c>
      <c r="N28" s="64">
        <v>13676.768624293551</v>
      </c>
      <c r="O28" s="64">
        <v>10557</v>
      </c>
      <c r="P28" s="64">
        <v>8878</v>
      </c>
      <c r="Q28" s="64">
        <v>9694.2137658619176</v>
      </c>
      <c r="R28" s="63">
        <v>10209</v>
      </c>
      <c r="S28" s="63">
        <v>9487</v>
      </c>
      <c r="T28" s="63">
        <v>7354</v>
      </c>
      <c r="U28" s="63">
        <v>6748</v>
      </c>
      <c r="V28" s="63">
        <v>4579</v>
      </c>
      <c r="W28" s="63">
        <v>5492</v>
      </c>
      <c r="X28" s="63">
        <v>4817.8596269660957</v>
      </c>
      <c r="Y28" s="63">
        <v>4144.7467969465642</v>
      </c>
      <c r="Z28" s="64"/>
      <c r="AA28" s="65" t="s">
        <v>216</v>
      </c>
      <c r="AB28" s="60">
        <v>158157.45000000001</v>
      </c>
      <c r="AC28" s="60">
        <v>142943.34</v>
      </c>
      <c r="AD28" s="94">
        <f t="shared" si="1"/>
        <v>157271.87666666668</v>
      </c>
      <c r="AE28" s="99">
        <f t="shared" si="2"/>
        <v>4021.3952550729082</v>
      </c>
      <c r="AF28" s="104">
        <f t="shared" si="3"/>
        <v>2.556970349884069E-2</v>
      </c>
      <c r="AG28" s="98">
        <f t="shared" si="0"/>
        <v>4356.5115263289836</v>
      </c>
      <c r="AH28" s="104">
        <f t="shared" si="4"/>
        <v>2.7700512123744078E-2</v>
      </c>
      <c r="AI28" s="99">
        <f t="shared" si="5"/>
        <v>4691.6277975850599</v>
      </c>
      <c r="AJ28" s="104">
        <f t="shared" si="6"/>
        <v>2.9831320748647472E-2</v>
      </c>
    </row>
    <row r="29" spans="1:183" ht="15" customHeight="1">
      <c r="A29" s="45" t="s">
        <v>217</v>
      </c>
      <c r="B29" s="46" t="s">
        <v>218</v>
      </c>
      <c r="C29" s="105">
        <v>50158.18</v>
      </c>
      <c r="D29" s="50" t="e">
        <f>(#REF!-E29)</f>
        <v>#REF!</v>
      </c>
      <c r="E29" s="51">
        <f>'[1]10-11 for 12-13 Asmt'!AW29</f>
        <v>71828.09</v>
      </c>
      <c r="F29" s="61"/>
      <c r="G29" s="61"/>
      <c r="H29" s="62"/>
      <c r="I29" s="63"/>
      <c r="J29" s="62"/>
      <c r="K29" s="62">
        <v>1992</v>
      </c>
      <c r="L29" s="62">
        <v>2093.3869999999997</v>
      </c>
      <c r="M29" s="62">
        <v>1803</v>
      </c>
      <c r="N29" s="64">
        <v>1000</v>
      </c>
      <c r="O29" s="64">
        <v>750</v>
      </c>
      <c r="P29" s="64">
        <v>750</v>
      </c>
      <c r="Q29" s="64">
        <v>1500</v>
      </c>
      <c r="R29" s="63">
        <v>1500</v>
      </c>
      <c r="S29" s="63">
        <v>2000</v>
      </c>
      <c r="T29" s="63">
        <v>1000</v>
      </c>
      <c r="U29" s="63">
        <v>1100</v>
      </c>
      <c r="V29" s="63">
        <v>5205</v>
      </c>
      <c r="W29" s="63">
        <v>4335</v>
      </c>
      <c r="X29" s="63">
        <v>3207.3323081111776</v>
      </c>
      <c r="Y29" s="63">
        <v>3427.485170830962</v>
      </c>
      <c r="Z29" s="64"/>
      <c r="AA29" s="65" t="s">
        <v>218</v>
      </c>
      <c r="AB29" s="60">
        <v>54682.18</v>
      </c>
      <c r="AC29" s="60">
        <v>48571.76</v>
      </c>
      <c r="AD29" s="94">
        <f t="shared" si="1"/>
        <v>51137.373333333329</v>
      </c>
      <c r="AE29" s="99">
        <f t="shared" si="2"/>
        <v>1307.5674738428559</v>
      </c>
      <c r="AF29" s="104">
        <f t="shared" si="3"/>
        <v>2.556970349884069E-2</v>
      </c>
      <c r="AG29" s="98">
        <f t="shared" si="0"/>
        <v>1416.5314299964273</v>
      </c>
      <c r="AH29" s="104">
        <f t="shared" si="4"/>
        <v>2.7700512123744084E-2</v>
      </c>
      <c r="AI29" s="99">
        <f t="shared" si="5"/>
        <v>1525.4953861499985</v>
      </c>
      <c r="AJ29" s="104">
        <f t="shared" si="6"/>
        <v>2.9831320748647472E-2</v>
      </c>
    </row>
    <row r="30" spans="1:183" s="58" customFormat="1" ht="15" customHeight="1">
      <c r="A30" s="45" t="s">
        <v>220</v>
      </c>
      <c r="B30" s="46" t="s">
        <v>221</v>
      </c>
      <c r="C30" s="105">
        <v>409733.04</v>
      </c>
      <c r="D30" s="50" t="e">
        <f>(#REF!-E30)</f>
        <v>#REF!</v>
      </c>
      <c r="E30" s="51">
        <f>'[1]10-11 for 12-13 Asmt'!AW30</f>
        <v>283438.53999999998</v>
      </c>
      <c r="F30" s="54" t="s">
        <v>222</v>
      </c>
      <c r="G30" s="54" t="s">
        <v>223</v>
      </c>
      <c r="H30" s="57"/>
      <c r="I30" s="56"/>
      <c r="J30" s="57"/>
      <c r="K30" s="57">
        <f t="shared" ref="K30:K52" si="8">SUM(I30:J30)</f>
        <v>0</v>
      </c>
      <c r="L30" s="57">
        <v>45882.300146282432</v>
      </c>
      <c r="M30" s="57">
        <v>46601</v>
      </c>
      <c r="N30" s="57">
        <v>44902.853249701337</v>
      </c>
      <c r="O30" s="57">
        <v>45327</v>
      </c>
      <c r="P30" s="57">
        <v>35395</v>
      </c>
      <c r="Q30" s="57">
        <v>39066.582112648328</v>
      </c>
      <c r="R30" s="56">
        <v>35060</v>
      </c>
      <c r="S30" s="56">
        <v>28721</v>
      </c>
      <c r="T30" s="56">
        <v>25949</v>
      </c>
      <c r="U30" s="56">
        <v>33597</v>
      </c>
      <c r="V30" s="56">
        <v>29103</v>
      </c>
      <c r="W30" s="56">
        <v>24629</v>
      </c>
      <c r="X30" s="56">
        <v>27826.9992812411</v>
      </c>
      <c r="Y30" s="56">
        <v>30104.460987115275</v>
      </c>
      <c r="Z30" s="57"/>
      <c r="AA30" s="46" t="s">
        <v>224</v>
      </c>
      <c r="AB30" s="48">
        <v>432628.19</v>
      </c>
      <c r="AC30" s="48">
        <v>475361.74</v>
      </c>
      <c r="AD30" s="94">
        <f t="shared" si="1"/>
        <v>439240.99</v>
      </c>
      <c r="AE30" s="99">
        <f t="shared" si="2"/>
        <v>11231.261878837249</v>
      </c>
      <c r="AF30" s="104">
        <f t="shared" si="3"/>
        <v>2.5569703498840694E-2</v>
      </c>
      <c r="AG30" s="98">
        <f t="shared" si="0"/>
        <v>12167.200368740352</v>
      </c>
      <c r="AH30" s="104">
        <f t="shared" si="4"/>
        <v>2.7700512123744081E-2</v>
      </c>
      <c r="AI30" s="99">
        <f t="shared" si="5"/>
        <v>13103.138858643457</v>
      </c>
      <c r="AJ30" s="104">
        <f t="shared" si="6"/>
        <v>2.9831320748647472E-2</v>
      </c>
    </row>
    <row r="31" spans="1:183" ht="15" customHeight="1">
      <c r="A31" s="45" t="s">
        <v>225</v>
      </c>
      <c r="B31" s="68" t="s">
        <v>226</v>
      </c>
      <c r="C31" s="105">
        <v>213804.78</v>
      </c>
      <c r="D31" s="50" t="e">
        <f>(#REF!-E31)</f>
        <v>#REF!</v>
      </c>
      <c r="E31" s="51">
        <f>'[1]10-11 for 12-13 Asmt'!AW31</f>
        <v>162052.58999999997</v>
      </c>
      <c r="F31" s="69" t="s">
        <v>228</v>
      </c>
      <c r="G31" s="61" t="s">
        <v>229</v>
      </c>
      <c r="H31" s="64"/>
      <c r="I31" s="63"/>
      <c r="J31" s="64"/>
      <c r="K31" s="64">
        <f t="shared" si="8"/>
        <v>0</v>
      </c>
      <c r="L31" s="64">
        <v>21666.950415323827</v>
      </c>
      <c r="M31" s="64">
        <v>19253</v>
      </c>
      <c r="N31" s="64">
        <v>14756.369383367219</v>
      </c>
      <c r="O31" s="64">
        <v>14430</v>
      </c>
      <c r="P31" s="64">
        <v>15320</v>
      </c>
      <c r="Q31" s="64">
        <v>17923.830435810378</v>
      </c>
      <c r="R31" s="63">
        <v>12553</v>
      </c>
      <c r="S31" s="63">
        <v>14904</v>
      </c>
      <c r="T31" s="63">
        <v>11993</v>
      </c>
      <c r="U31" s="63">
        <v>14657</v>
      </c>
      <c r="V31" s="63">
        <v>8654</v>
      </c>
      <c r="W31" s="63">
        <v>13909</v>
      </c>
      <c r="X31" s="63">
        <v>12488.893963087949</v>
      </c>
      <c r="Y31" s="63">
        <v>10063.400770813038</v>
      </c>
      <c r="Z31" s="64"/>
      <c r="AA31" s="65" t="s">
        <v>230</v>
      </c>
      <c r="AB31" s="60">
        <v>207397.74</v>
      </c>
      <c r="AC31" s="60">
        <v>212017.81</v>
      </c>
      <c r="AD31" s="94">
        <f t="shared" si="1"/>
        <v>211073.44333333336</v>
      </c>
      <c r="AE31" s="99">
        <f t="shared" si="2"/>
        <v>5397.0853625126865</v>
      </c>
      <c r="AF31" s="104">
        <f t="shared" si="3"/>
        <v>2.5569703498840694E-2</v>
      </c>
      <c r="AG31" s="98">
        <f t="shared" si="0"/>
        <v>5846.8424760554099</v>
      </c>
      <c r="AH31" s="104">
        <f t="shared" si="4"/>
        <v>2.7700512123744081E-2</v>
      </c>
      <c r="AI31" s="99">
        <f t="shared" si="5"/>
        <v>6296.5995895981341</v>
      </c>
      <c r="AJ31" s="104">
        <f t="shared" si="6"/>
        <v>2.9831320748647472E-2</v>
      </c>
    </row>
    <row r="32" spans="1:183" ht="15" customHeight="1">
      <c r="A32" s="45" t="s">
        <v>225</v>
      </c>
      <c r="B32" s="46" t="s">
        <v>231</v>
      </c>
      <c r="C32" s="105">
        <v>167689.63</v>
      </c>
      <c r="D32" s="50" t="e">
        <f>(#REF!-E32)</f>
        <v>#REF!</v>
      </c>
      <c r="E32" s="51">
        <f>'[1]10-11 for 12-13 Asmt'!AW32</f>
        <v>97778.91</v>
      </c>
      <c r="F32" s="54"/>
      <c r="G32" s="61"/>
      <c r="H32" s="64"/>
      <c r="I32" s="63"/>
      <c r="J32" s="64"/>
      <c r="K32" s="64">
        <f t="shared" si="8"/>
        <v>0</v>
      </c>
      <c r="L32" s="64">
        <v>14011.104973308515</v>
      </c>
      <c r="M32" s="64">
        <v>15542</v>
      </c>
      <c r="N32" s="64">
        <v>16210.121160110779</v>
      </c>
      <c r="O32" s="64">
        <v>11830</v>
      </c>
      <c r="P32" s="64">
        <v>10952</v>
      </c>
      <c r="Q32" s="64">
        <v>13478.499207869141</v>
      </c>
      <c r="R32" s="63">
        <v>12813</v>
      </c>
      <c r="S32" s="63">
        <v>10627</v>
      </c>
      <c r="T32" s="63">
        <v>10420</v>
      </c>
      <c r="U32" s="63">
        <v>9799</v>
      </c>
      <c r="V32" s="63">
        <v>8526</v>
      </c>
      <c r="W32" s="63">
        <v>8184</v>
      </c>
      <c r="X32" s="63">
        <v>3485.7311867883827</v>
      </c>
      <c r="Y32" s="63">
        <v>4820.7370193699153</v>
      </c>
      <c r="Z32" s="64"/>
      <c r="AA32" s="70" t="s">
        <v>234</v>
      </c>
      <c r="AB32" s="60">
        <v>187762.58</v>
      </c>
      <c r="AC32" s="89">
        <v>184303.79</v>
      </c>
      <c r="AD32" s="94">
        <f t="shared" si="1"/>
        <v>179918.66666666666</v>
      </c>
      <c r="AE32" s="99">
        <f t="shared" si="2"/>
        <v>4600.466960573418</v>
      </c>
      <c r="AF32" s="104">
        <f t="shared" si="3"/>
        <v>2.556970349884069E-2</v>
      </c>
      <c r="AG32" s="98">
        <f t="shared" si="0"/>
        <v>4983.8392072878696</v>
      </c>
      <c r="AH32" s="104">
        <f t="shared" si="4"/>
        <v>2.7700512123744081E-2</v>
      </c>
      <c r="AI32" s="99">
        <f t="shared" si="5"/>
        <v>5367.2114540023213</v>
      </c>
      <c r="AJ32" s="104">
        <f t="shared" si="6"/>
        <v>2.9831320748647472E-2</v>
      </c>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1"/>
      <c r="ET32" s="71"/>
      <c r="EU32" s="71"/>
      <c r="EV32" s="71"/>
      <c r="EW32" s="71"/>
      <c r="EX32" s="71"/>
      <c r="EY32" s="71"/>
      <c r="EZ32" s="71"/>
      <c r="FA32" s="71"/>
      <c r="FB32" s="71"/>
      <c r="FC32" s="71"/>
      <c r="FD32" s="71"/>
      <c r="FE32" s="71"/>
      <c r="FF32" s="71"/>
      <c r="FG32" s="71"/>
      <c r="FH32" s="71"/>
      <c r="FI32" s="71"/>
      <c r="FJ32" s="71"/>
      <c r="FK32" s="71"/>
      <c r="FL32" s="71"/>
      <c r="FM32" s="71"/>
      <c r="FN32" s="71"/>
      <c r="FO32" s="71"/>
      <c r="FP32" s="71"/>
      <c r="FQ32" s="71"/>
      <c r="FR32" s="71"/>
      <c r="FS32" s="71"/>
      <c r="FT32" s="71"/>
      <c r="FU32" s="71"/>
      <c r="FV32" s="71"/>
      <c r="FW32" s="71"/>
      <c r="FX32" s="71"/>
      <c r="FY32" s="71"/>
      <c r="FZ32" s="71"/>
      <c r="GA32" s="71"/>
    </row>
    <row r="33" spans="1:36" ht="15" customHeight="1">
      <c r="A33" s="45" t="s">
        <v>225</v>
      </c>
      <c r="B33" s="46" t="s">
        <v>235</v>
      </c>
      <c r="C33" s="105">
        <v>54752.24</v>
      </c>
      <c r="D33" s="50" t="e">
        <f>(#REF!-E33)</f>
        <v>#REF!</v>
      </c>
      <c r="E33" s="51">
        <f>'[1]10-11 for 12-13 Asmt'!AW33</f>
        <v>62047.51</v>
      </c>
      <c r="F33" s="61"/>
      <c r="G33" s="61" t="s">
        <v>236</v>
      </c>
      <c r="H33" s="72"/>
      <c r="I33" s="73"/>
      <c r="J33" s="72"/>
      <c r="K33" s="72">
        <f t="shared" si="8"/>
        <v>0</v>
      </c>
      <c r="L33" s="62">
        <v>2892.2785000000003</v>
      </c>
      <c r="M33" s="64">
        <v>10400</v>
      </c>
      <c r="N33" s="64">
        <v>9153.0319527786087</v>
      </c>
      <c r="O33" s="64">
        <v>6538</v>
      </c>
      <c r="P33" s="64">
        <v>6444</v>
      </c>
      <c r="Q33" s="64">
        <v>6823.0029882796798</v>
      </c>
      <c r="R33" s="63">
        <v>6280</v>
      </c>
      <c r="S33" s="63">
        <v>5324</v>
      </c>
      <c r="T33" s="63">
        <v>6855</v>
      </c>
      <c r="U33" s="63">
        <v>8749</v>
      </c>
      <c r="V33" s="63">
        <v>6762</v>
      </c>
      <c r="W33" s="63">
        <v>6489</v>
      </c>
      <c r="X33" s="63">
        <v>7032.3120944774264</v>
      </c>
      <c r="Y33" s="63">
        <v>5839.0066936216826</v>
      </c>
      <c r="Z33" s="64"/>
      <c r="AA33" s="65" t="s">
        <v>237</v>
      </c>
      <c r="AB33" s="60">
        <v>62388.19</v>
      </c>
      <c r="AC33" s="60">
        <v>72699.55</v>
      </c>
      <c r="AD33" s="94">
        <f t="shared" si="1"/>
        <v>63279.993333333325</v>
      </c>
      <c r="AE33" s="99">
        <f t="shared" si="2"/>
        <v>1618.0506669419487</v>
      </c>
      <c r="AF33" s="104">
        <f t="shared" si="3"/>
        <v>2.556970349884069E-2</v>
      </c>
      <c r="AG33" s="98">
        <f t="shared" si="0"/>
        <v>1752.8882225204445</v>
      </c>
      <c r="AH33" s="104">
        <f t="shared" si="4"/>
        <v>2.7700512123744084E-2</v>
      </c>
      <c r="AI33" s="99">
        <f t="shared" si="5"/>
        <v>1887.7257780989403</v>
      </c>
      <c r="AJ33" s="104">
        <f t="shared" si="6"/>
        <v>2.9831320748647475E-2</v>
      </c>
    </row>
    <row r="34" spans="1:36" s="58" customFormat="1" ht="15" customHeight="1">
      <c r="A34" s="45" t="s">
        <v>238</v>
      </c>
      <c r="B34" s="46" t="s">
        <v>239</v>
      </c>
      <c r="C34" s="105">
        <v>69441.119999999995</v>
      </c>
      <c r="D34" s="50" t="e">
        <f>(#REF!-E34)</f>
        <v>#REF!</v>
      </c>
      <c r="E34" s="51">
        <f>'[1]10-11 for 12-13 Asmt'!AW34</f>
        <v>56817.65</v>
      </c>
      <c r="F34" s="48"/>
      <c r="G34" s="54" t="s">
        <v>241</v>
      </c>
      <c r="H34" s="57"/>
      <c r="I34" s="56"/>
      <c r="J34" s="57"/>
      <c r="K34" s="57">
        <f t="shared" si="8"/>
        <v>0</v>
      </c>
      <c r="L34" s="57">
        <v>2633.8415000000005</v>
      </c>
      <c r="M34" s="57">
        <v>10988</v>
      </c>
      <c r="N34" s="57">
        <v>11106.268690596087</v>
      </c>
      <c r="O34" s="57">
        <v>8473</v>
      </c>
      <c r="P34" s="57">
        <v>8307</v>
      </c>
      <c r="Q34" s="57">
        <v>9187.1706215640588</v>
      </c>
      <c r="R34" s="56">
        <v>8348</v>
      </c>
      <c r="S34" s="56">
        <v>6863</v>
      </c>
      <c r="T34" s="56">
        <v>7315</v>
      </c>
      <c r="U34" s="56">
        <v>7155</v>
      </c>
      <c r="V34" s="56">
        <v>6187</v>
      </c>
      <c r="W34" s="56">
        <v>5231</v>
      </c>
      <c r="X34" s="56">
        <v>2934.4277719957445</v>
      </c>
      <c r="Y34" s="56">
        <v>2776.9385691142129</v>
      </c>
      <c r="Z34" s="57"/>
      <c r="AA34" s="46" t="s">
        <v>239</v>
      </c>
      <c r="AB34" s="48">
        <v>70926</v>
      </c>
      <c r="AC34" s="48">
        <v>59081</v>
      </c>
      <c r="AD34" s="94">
        <f t="shared" si="1"/>
        <v>66482.706666666665</v>
      </c>
      <c r="AE34" s="99">
        <f t="shared" si="2"/>
        <v>1699.9430972670659</v>
      </c>
      <c r="AF34" s="104">
        <f t="shared" si="3"/>
        <v>2.556970349884069E-2</v>
      </c>
      <c r="AG34" s="98">
        <f t="shared" si="0"/>
        <v>1841.6050220393215</v>
      </c>
      <c r="AH34" s="104">
        <f t="shared" si="4"/>
        <v>2.7700512123744081E-2</v>
      </c>
      <c r="AI34" s="99">
        <f t="shared" si="5"/>
        <v>1983.2669468115769</v>
      </c>
      <c r="AJ34" s="104">
        <f t="shared" si="6"/>
        <v>2.9831320748647472E-2</v>
      </c>
    </row>
    <row r="35" spans="1:36" s="58" customFormat="1" ht="15" customHeight="1">
      <c r="A35" s="45" t="s">
        <v>242</v>
      </c>
      <c r="B35" s="46" t="s">
        <v>243</v>
      </c>
      <c r="C35" s="105">
        <v>56798</v>
      </c>
      <c r="D35" s="50" t="e">
        <f>(#REF!-E35)</f>
        <v>#REF!</v>
      </c>
      <c r="E35" s="51">
        <f>'[1]10-11 for 12-13 Asmt'!AW35</f>
        <v>61183.429999999993</v>
      </c>
      <c r="F35" s="48"/>
      <c r="G35" s="54" t="s">
        <v>245</v>
      </c>
      <c r="H35" s="57"/>
      <c r="I35" s="56"/>
      <c r="J35" s="57"/>
      <c r="K35" s="57">
        <f t="shared" si="8"/>
        <v>0</v>
      </c>
      <c r="L35" s="57">
        <v>2971.8924999999999</v>
      </c>
      <c r="M35" s="57">
        <v>10318</v>
      </c>
      <c r="N35" s="57">
        <v>9657.8857456291316</v>
      </c>
      <c r="O35" s="57">
        <v>8040</v>
      </c>
      <c r="P35" s="57">
        <v>7472</v>
      </c>
      <c r="Q35" s="57">
        <v>7700.7508312043601</v>
      </c>
      <c r="R35" s="56">
        <v>6472</v>
      </c>
      <c r="S35" s="56">
        <v>5389</v>
      </c>
      <c r="T35" s="56">
        <v>5059</v>
      </c>
      <c r="U35" s="56">
        <v>5317</v>
      </c>
      <c r="V35" s="56">
        <v>4238</v>
      </c>
      <c r="W35" s="56">
        <v>4600</v>
      </c>
      <c r="X35" s="56">
        <v>6395.2930006503793</v>
      </c>
      <c r="Y35" s="56">
        <v>4506.0639593953601</v>
      </c>
      <c r="Z35" s="57"/>
      <c r="AA35" s="46" t="s">
        <v>246</v>
      </c>
      <c r="AB35" s="48">
        <v>51462.45</v>
      </c>
      <c r="AC35" s="48">
        <v>55800.26</v>
      </c>
      <c r="AD35" s="94">
        <f t="shared" si="1"/>
        <v>54686.903333333328</v>
      </c>
      <c r="AE35" s="99">
        <f t="shared" si="2"/>
        <v>1398.327903503096</v>
      </c>
      <c r="AF35" s="104">
        <f t="shared" si="3"/>
        <v>2.5569703498840694E-2</v>
      </c>
      <c r="AG35" s="98">
        <f t="shared" si="0"/>
        <v>1514.8552287950206</v>
      </c>
      <c r="AH35" s="104">
        <f t="shared" si="4"/>
        <v>2.7700512123744084E-2</v>
      </c>
      <c r="AI35" s="99">
        <f t="shared" si="5"/>
        <v>1631.3825540869452</v>
      </c>
      <c r="AJ35" s="104">
        <f t="shared" si="6"/>
        <v>2.9831320748647475E-2</v>
      </c>
    </row>
    <row r="36" spans="1:36" s="58" customFormat="1" ht="15" customHeight="1">
      <c r="A36" s="45" t="s">
        <v>242</v>
      </c>
      <c r="B36" s="46" t="s">
        <v>247</v>
      </c>
      <c r="C36" s="105">
        <v>79510.89</v>
      </c>
      <c r="D36" s="50" t="e">
        <f>(#REF!-E36)</f>
        <v>#REF!</v>
      </c>
      <c r="E36" s="51">
        <f>'[1]10-11 for 12-13 Asmt'!AW36</f>
        <v>62874.520000000004</v>
      </c>
      <c r="F36" s="54" t="s">
        <v>249</v>
      </c>
      <c r="G36" s="54" t="s">
        <v>250</v>
      </c>
      <c r="H36" s="57"/>
      <c r="I36" s="57"/>
      <c r="J36" s="57"/>
      <c r="K36" s="57">
        <f t="shared" si="8"/>
        <v>0</v>
      </c>
      <c r="L36" s="57">
        <v>2511.2059999999997</v>
      </c>
      <c r="M36" s="57">
        <v>2081</v>
      </c>
      <c r="N36" s="57">
        <v>8000</v>
      </c>
      <c r="O36" s="57">
        <v>4000</v>
      </c>
      <c r="P36" s="57">
        <v>2000</v>
      </c>
      <c r="Q36" s="57">
        <v>1000</v>
      </c>
      <c r="R36" s="56">
        <v>2000</v>
      </c>
      <c r="S36" s="56">
        <v>1000</v>
      </c>
      <c r="T36" s="56">
        <v>4873</v>
      </c>
      <c r="U36" s="56">
        <v>5647</v>
      </c>
      <c r="V36" s="56">
        <v>5260</v>
      </c>
      <c r="W36" s="56">
        <v>5459</v>
      </c>
      <c r="X36" s="56">
        <v>5841.3629261191682</v>
      </c>
      <c r="Y36" s="56">
        <v>5359.692996998112</v>
      </c>
      <c r="Z36" s="57"/>
      <c r="AA36" s="46" t="s">
        <v>251</v>
      </c>
      <c r="AB36" s="48">
        <v>71991.899999999994</v>
      </c>
      <c r="AC36" s="48">
        <v>88962.209999999992</v>
      </c>
      <c r="AD36" s="94">
        <f t="shared" si="1"/>
        <v>80154.999999999985</v>
      </c>
      <c r="AE36" s="99">
        <f t="shared" si="2"/>
        <v>2049.539583949575</v>
      </c>
      <c r="AF36" s="104">
        <f t="shared" si="3"/>
        <v>2.5569703498840687E-2</v>
      </c>
      <c r="AG36" s="98">
        <f t="shared" si="0"/>
        <v>2220.3345492787062</v>
      </c>
      <c r="AH36" s="104">
        <f t="shared" si="4"/>
        <v>2.7700512123744078E-2</v>
      </c>
      <c r="AI36" s="99">
        <f t="shared" si="5"/>
        <v>2391.1295146078378</v>
      </c>
      <c r="AJ36" s="104">
        <f t="shared" si="6"/>
        <v>2.9831320748647472E-2</v>
      </c>
    </row>
    <row r="37" spans="1:36" ht="15" customHeight="1">
      <c r="A37" s="45" t="s">
        <v>252</v>
      </c>
      <c r="B37" s="46" t="s">
        <v>253</v>
      </c>
      <c r="C37" s="105">
        <v>44310</v>
      </c>
      <c r="D37" s="50" t="e">
        <f>(#REF!-E37)</f>
        <v>#REF!</v>
      </c>
      <c r="E37" s="51">
        <f>'[1]10-11 for 12-13 Asmt'!AW37</f>
        <v>54995.94</v>
      </c>
      <c r="F37" s="61"/>
      <c r="G37" s="61"/>
      <c r="H37" s="72"/>
      <c r="I37" s="73"/>
      <c r="J37" s="72"/>
      <c r="K37" s="72">
        <f t="shared" si="8"/>
        <v>0</v>
      </c>
      <c r="L37" s="62">
        <v>2726.11</v>
      </c>
      <c r="M37" s="64">
        <v>2835</v>
      </c>
      <c r="N37" s="64">
        <v>9063.6503298914067</v>
      </c>
      <c r="O37" s="64">
        <v>8788</v>
      </c>
      <c r="P37" s="64">
        <v>8788</v>
      </c>
      <c r="Q37" s="64">
        <v>9114.5225325396586</v>
      </c>
      <c r="R37" s="63">
        <v>8674</v>
      </c>
      <c r="S37" s="63">
        <v>6906</v>
      </c>
      <c r="T37" s="63">
        <v>7674</v>
      </c>
      <c r="U37" s="63">
        <v>7584</v>
      </c>
      <c r="V37" s="63">
        <v>6019</v>
      </c>
      <c r="W37" s="63">
        <v>5878</v>
      </c>
      <c r="X37" s="63">
        <v>5415.5366210664733</v>
      </c>
      <c r="Y37" s="63">
        <v>5803.8027123859256</v>
      </c>
      <c r="Z37" s="64"/>
      <c r="AA37" s="65" t="s">
        <v>253</v>
      </c>
      <c r="AB37" s="60">
        <v>47160.46</v>
      </c>
      <c r="AC37" s="60">
        <v>52308.85</v>
      </c>
      <c r="AD37" s="94">
        <f t="shared" si="1"/>
        <v>47926.436666666668</v>
      </c>
      <c r="AE37" s="99">
        <f t="shared" si="2"/>
        <v>1225.4647753226334</v>
      </c>
      <c r="AF37" s="104">
        <f t="shared" si="3"/>
        <v>2.556970349884069E-2</v>
      </c>
      <c r="AG37" s="98">
        <f t="shared" si="0"/>
        <v>1327.5868399328529</v>
      </c>
      <c r="AH37" s="104">
        <f t="shared" si="4"/>
        <v>2.7700512123744081E-2</v>
      </c>
      <c r="AI37" s="99">
        <f t="shared" si="5"/>
        <v>1429.7089045430723</v>
      </c>
      <c r="AJ37" s="104">
        <f t="shared" si="6"/>
        <v>2.9831320748647472E-2</v>
      </c>
    </row>
    <row r="38" spans="1:36" ht="15" customHeight="1">
      <c r="A38" s="45" t="s">
        <v>255</v>
      </c>
      <c r="B38" s="46" t="s">
        <v>256</v>
      </c>
      <c r="C38" s="105">
        <v>101977.66</v>
      </c>
      <c r="D38" s="50" t="e">
        <f>(#REF!-E38)</f>
        <v>#REF!</v>
      </c>
      <c r="E38" s="51">
        <f>'[1]10-11 for 12-13 Asmt'!AW38</f>
        <v>162329.15999999997</v>
      </c>
      <c r="F38" s="61"/>
      <c r="G38" s="61"/>
      <c r="H38" s="64"/>
      <c r="I38" s="63"/>
      <c r="J38" s="64"/>
      <c r="K38" s="64">
        <f t="shared" si="8"/>
        <v>0</v>
      </c>
      <c r="L38" s="64">
        <v>25355.30887853666</v>
      </c>
      <c r="M38" s="64">
        <v>19067</v>
      </c>
      <c r="N38" s="64">
        <v>18573.707136807032</v>
      </c>
      <c r="O38" s="64">
        <v>8296</v>
      </c>
      <c r="P38" s="64">
        <v>16011</v>
      </c>
      <c r="Q38" s="64">
        <v>16237.804288786858</v>
      </c>
      <c r="R38" s="63">
        <v>11252</v>
      </c>
      <c r="S38" s="63">
        <v>13231</v>
      </c>
      <c r="T38" s="63">
        <v>8273</v>
      </c>
      <c r="U38" s="63">
        <v>12666</v>
      </c>
      <c r="V38" s="63">
        <v>11205</v>
      </c>
      <c r="W38" s="63">
        <v>6142</v>
      </c>
      <c r="X38" s="63">
        <v>7755.6494250504447</v>
      </c>
      <c r="Y38" s="63">
        <v>5912.6461353747682</v>
      </c>
      <c r="Z38" s="64"/>
      <c r="AA38" s="65" t="s">
        <v>256</v>
      </c>
      <c r="AB38" s="60">
        <v>110639.92</v>
      </c>
      <c r="AC38" s="60">
        <v>119499.25</v>
      </c>
      <c r="AD38" s="94">
        <f t="shared" si="1"/>
        <v>110705.61</v>
      </c>
      <c r="AE38" s="99">
        <f t="shared" si="2"/>
        <v>2830.7096233582929</v>
      </c>
      <c r="AF38" s="104">
        <f t="shared" si="3"/>
        <v>2.556970349884069E-2</v>
      </c>
      <c r="AG38" s="98">
        <f t="shared" ref="AG38:AG69" si="9">(AD38/$AD$88)*$AG$5</f>
        <v>3066.6020919714842</v>
      </c>
      <c r="AH38" s="104">
        <f t="shared" si="4"/>
        <v>2.7700512123744084E-2</v>
      </c>
      <c r="AI38" s="99">
        <f t="shared" si="5"/>
        <v>3302.4945605846751</v>
      </c>
      <c r="AJ38" s="104">
        <f t="shared" si="6"/>
        <v>2.9831320748647472E-2</v>
      </c>
    </row>
    <row r="39" spans="1:36" s="58" customFormat="1" ht="15" customHeight="1">
      <c r="A39" s="45" t="s">
        <v>255</v>
      </c>
      <c r="B39" s="46" t="s">
        <v>258</v>
      </c>
      <c r="C39" s="105">
        <v>51625.82</v>
      </c>
      <c r="D39" s="50" t="e">
        <f>(#REF!-E39)</f>
        <v>#REF!</v>
      </c>
      <c r="E39" s="51">
        <f>'[1]10-11 for 12-13 Asmt'!AW39</f>
        <v>44013.110000000008</v>
      </c>
      <c r="F39" s="54" t="s">
        <v>260</v>
      </c>
      <c r="G39" s="54" t="s">
        <v>261</v>
      </c>
      <c r="H39" s="57"/>
      <c r="I39" s="56"/>
      <c r="J39" s="57"/>
      <c r="K39" s="57">
        <f t="shared" si="8"/>
        <v>0</v>
      </c>
      <c r="L39" s="57">
        <v>2388.4435000000003</v>
      </c>
      <c r="M39" s="57">
        <v>1901</v>
      </c>
      <c r="N39" s="57">
        <v>6747.1608930760567</v>
      </c>
      <c r="O39" s="57">
        <v>5093</v>
      </c>
      <c r="P39" s="57">
        <v>5080</v>
      </c>
      <c r="Q39" s="57">
        <v>4000</v>
      </c>
      <c r="R39" s="56">
        <v>2000</v>
      </c>
      <c r="S39" s="56">
        <v>2000</v>
      </c>
      <c r="T39" s="56">
        <v>1000</v>
      </c>
      <c r="U39" s="56">
        <v>4650</v>
      </c>
      <c r="V39" s="56">
        <v>1101</v>
      </c>
      <c r="W39" s="56">
        <v>4632</v>
      </c>
      <c r="X39" s="56">
        <v>3668.2200937192079</v>
      </c>
      <c r="Y39" s="56">
        <v>2911.1089803679529</v>
      </c>
      <c r="Z39" s="57"/>
      <c r="AA39" s="46" t="s">
        <v>258</v>
      </c>
      <c r="AB39" s="48">
        <v>53806.44</v>
      </c>
      <c r="AC39" s="48">
        <v>50777.11</v>
      </c>
      <c r="AD39" s="94">
        <f t="shared" si="1"/>
        <v>52069.79</v>
      </c>
      <c r="AE39" s="99">
        <f t="shared" si="2"/>
        <v>1331.4090915469001</v>
      </c>
      <c r="AF39" s="104">
        <f t="shared" si="3"/>
        <v>2.556970349884069E-2</v>
      </c>
      <c r="AG39" s="98">
        <f t="shared" si="9"/>
        <v>1442.3598491758082</v>
      </c>
      <c r="AH39" s="104">
        <f t="shared" si="4"/>
        <v>2.7700512123744078E-2</v>
      </c>
      <c r="AI39" s="99">
        <f t="shared" si="5"/>
        <v>1553.3106068047166</v>
      </c>
      <c r="AJ39" s="104">
        <f t="shared" si="6"/>
        <v>2.9831320748647472E-2</v>
      </c>
    </row>
    <row r="40" spans="1:36" ht="15" customHeight="1">
      <c r="A40" s="45" t="s">
        <v>262</v>
      </c>
      <c r="B40" s="46" t="s">
        <v>263</v>
      </c>
      <c r="C40" s="105">
        <v>127821.34</v>
      </c>
      <c r="D40" s="50" t="e">
        <f>(#REF!-E40)</f>
        <v>#REF!</v>
      </c>
      <c r="E40" s="51">
        <f>'[1]10-11 for 12-13 Asmt'!AW40</f>
        <v>79401.249999999985</v>
      </c>
      <c r="F40" s="61"/>
      <c r="G40" s="60"/>
      <c r="H40" s="64"/>
      <c r="I40" s="63"/>
      <c r="J40" s="64"/>
      <c r="K40" s="64">
        <f t="shared" si="8"/>
        <v>0</v>
      </c>
      <c r="L40" s="64">
        <v>14654.01302328266</v>
      </c>
      <c r="M40" s="64">
        <v>16530</v>
      </c>
      <c r="N40" s="64">
        <v>17520.125949628993</v>
      </c>
      <c r="O40" s="64">
        <v>17900</v>
      </c>
      <c r="P40" s="64">
        <v>16722</v>
      </c>
      <c r="Q40" s="64">
        <v>15972.601073529238</v>
      </c>
      <c r="R40" s="63">
        <v>14508</v>
      </c>
      <c r="S40" s="63">
        <v>12734</v>
      </c>
      <c r="T40" s="63">
        <v>11136</v>
      </c>
      <c r="U40" s="63">
        <v>10991</v>
      </c>
      <c r="V40" s="63">
        <v>9455</v>
      </c>
      <c r="W40" s="63">
        <v>9446</v>
      </c>
      <c r="X40" s="63">
        <v>7051.1205030455321</v>
      </c>
      <c r="Y40" s="63">
        <v>8451.4491488950771</v>
      </c>
      <c r="Z40" s="64"/>
      <c r="AA40" s="65" t="s">
        <v>263</v>
      </c>
      <c r="AB40" s="60">
        <v>120020.02</v>
      </c>
      <c r="AC40" s="60">
        <v>91484.68</v>
      </c>
      <c r="AD40" s="94">
        <f t="shared" si="1"/>
        <v>113108.68</v>
      </c>
      <c r="AE40" s="99">
        <f t="shared" si="2"/>
        <v>2892.1554107452516</v>
      </c>
      <c r="AF40" s="104">
        <f t="shared" si="3"/>
        <v>2.556970349884069E-2</v>
      </c>
      <c r="AG40" s="98">
        <f t="shared" si="9"/>
        <v>3133.1683616406895</v>
      </c>
      <c r="AH40" s="104">
        <f t="shared" si="4"/>
        <v>2.7700512123744081E-2</v>
      </c>
      <c r="AI40" s="99">
        <f t="shared" si="5"/>
        <v>3374.1813125361273</v>
      </c>
      <c r="AJ40" s="104">
        <f t="shared" si="6"/>
        <v>2.9831320748647472E-2</v>
      </c>
    </row>
    <row r="41" spans="1:36" s="58" customFormat="1" ht="15" customHeight="1">
      <c r="A41" s="45" t="s">
        <v>264</v>
      </c>
      <c r="B41" s="46" t="s">
        <v>265</v>
      </c>
      <c r="C41" s="105">
        <v>46116.51</v>
      </c>
      <c r="D41" s="50" t="e">
        <f>(#REF!-E41)</f>
        <v>#REF!</v>
      </c>
      <c r="E41" s="51">
        <f>'[1]10-11 for 12-13 Asmt'!AW41</f>
        <v>58874</v>
      </c>
      <c r="F41" s="54" t="s">
        <v>267</v>
      </c>
      <c r="G41" s="54"/>
      <c r="H41" s="57"/>
      <c r="I41" s="57"/>
      <c r="J41" s="57"/>
      <c r="K41" s="57">
        <f t="shared" si="8"/>
        <v>0</v>
      </c>
      <c r="L41" s="57">
        <v>2929.93</v>
      </c>
      <c r="M41" s="57">
        <v>11097</v>
      </c>
      <c r="N41" s="57">
        <v>8235.9338463825188</v>
      </c>
      <c r="O41" s="57">
        <v>8000</v>
      </c>
      <c r="P41" s="57">
        <v>4000</v>
      </c>
      <c r="Q41" s="57">
        <v>2000</v>
      </c>
      <c r="R41" s="56">
        <v>1500</v>
      </c>
      <c r="S41" s="56">
        <v>7191</v>
      </c>
      <c r="T41" s="56">
        <v>5592</v>
      </c>
      <c r="U41" s="56">
        <v>7050</v>
      </c>
      <c r="V41" s="56">
        <v>5840</v>
      </c>
      <c r="W41" s="56">
        <v>5248</v>
      </c>
      <c r="X41" s="56">
        <v>5052.2840897952819</v>
      </c>
      <c r="Y41" s="56">
        <v>5028.97410208168</v>
      </c>
      <c r="Z41" s="57"/>
      <c r="AA41" s="46" t="s">
        <v>265</v>
      </c>
      <c r="AB41" s="48">
        <v>44727.09</v>
      </c>
      <c r="AC41" s="48">
        <v>57070.59</v>
      </c>
      <c r="AD41" s="94">
        <f t="shared" si="1"/>
        <v>49304.73</v>
      </c>
      <c r="AE41" s="99">
        <f t="shared" si="2"/>
        <v>1260.7073271903957</v>
      </c>
      <c r="AF41" s="104">
        <f t="shared" si="3"/>
        <v>2.5569703498840694E-2</v>
      </c>
      <c r="AG41" s="98">
        <f t="shared" si="9"/>
        <v>1365.7662711229286</v>
      </c>
      <c r="AH41" s="104">
        <f t="shared" si="4"/>
        <v>2.7700512123744081E-2</v>
      </c>
      <c r="AI41" s="99">
        <f t="shared" si="5"/>
        <v>1470.8252150554617</v>
      </c>
      <c r="AJ41" s="104">
        <f t="shared" si="6"/>
        <v>2.9831320748647475E-2</v>
      </c>
    </row>
    <row r="42" spans="1:36" ht="15" customHeight="1">
      <c r="A42" s="45" t="s">
        <v>268</v>
      </c>
      <c r="B42" s="46" t="s">
        <v>269</v>
      </c>
      <c r="C42" s="105">
        <v>89658.73</v>
      </c>
      <c r="D42" s="50" t="e">
        <f>(#REF!-E42)</f>
        <v>#REF!</v>
      </c>
      <c r="E42" s="51">
        <f>'[1]10-11 for 12-13 Asmt'!AW42</f>
        <v>83463.679999999993</v>
      </c>
      <c r="F42" s="61"/>
      <c r="G42" s="61" t="s">
        <v>270</v>
      </c>
      <c r="H42" s="64"/>
      <c r="I42" s="63"/>
      <c r="J42" s="64"/>
      <c r="K42" s="64">
        <f t="shared" si="8"/>
        <v>0</v>
      </c>
      <c r="L42" s="64">
        <v>11421.126752381035</v>
      </c>
      <c r="M42" s="64">
        <v>12395</v>
      </c>
      <c r="N42" s="64">
        <v>11622.502767475051</v>
      </c>
      <c r="O42" s="64">
        <v>9423</v>
      </c>
      <c r="P42" s="64">
        <v>8298</v>
      </c>
      <c r="Q42" s="64">
        <v>7409.7203251534993</v>
      </c>
      <c r="R42" s="63">
        <v>10143</v>
      </c>
      <c r="S42" s="63">
        <v>7212</v>
      </c>
      <c r="T42" s="63">
        <v>7569</v>
      </c>
      <c r="U42" s="63">
        <v>7515</v>
      </c>
      <c r="V42" s="63">
        <v>6429</v>
      </c>
      <c r="W42" s="63">
        <v>6470</v>
      </c>
      <c r="X42" s="63">
        <v>5858.4534303545088</v>
      </c>
      <c r="Y42" s="63">
        <v>6299.0240598628325</v>
      </c>
      <c r="Z42" s="64"/>
      <c r="AA42" s="65" t="s">
        <v>269</v>
      </c>
      <c r="AB42" s="60">
        <v>89921.94</v>
      </c>
      <c r="AC42" s="60">
        <v>69685.539999999994</v>
      </c>
      <c r="AD42" s="94">
        <f t="shared" si="1"/>
        <v>83088.736666666649</v>
      </c>
      <c r="AE42" s="99">
        <f t="shared" si="2"/>
        <v>2124.554360659919</v>
      </c>
      <c r="AF42" s="104">
        <f t="shared" si="3"/>
        <v>2.556970349884069E-2</v>
      </c>
      <c r="AG42" s="98">
        <f t="shared" si="9"/>
        <v>2301.6005573815792</v>
      </c>
      <c r="AH42" s="104">
        <f t="shared" si="4"/>
        <v>2.7700512123744084E-2</v>
      </c>
      <c r="AI42" s="99">
        <f t="shared" si="5"/>
        <v>2478.6467541032389</v>
      </c>
      <c r="AJ42" s="104">
        <f t="shared" si="6"/>
        <v>2.9831320748647472E-2</v>
      </c>
    </row>
    <row r="43" spans="1:36" ht="15" customHeight="1">
      <c r="A43" s="45" t="s">
        <v>271</v>
      </c>
      <c r="B43" s="46" t="s">
        <v>272</v>
      </c>
      <c r="C43" s="105">
        <v>73092.44</v>
      </c>
      <c r="D43" s="50" t="e">
        <f>(#REF!-E43)</f>
        <v>#REF!</v>
      </c>
      <c r="E43" s="51">
        <f>'[1]10-11 for 12-13 Asmt'!AW43</f>
        <v>64914.270000000004</v>
      </c>
      <c r="F43" s="61"/>
      <c r="H43" s="64"/>
      <c r="I43" s="63"/>
      <c r="J43" s="64"/>
      <c r="K43" s="64">
        <f t="shared" si="8"/>
        <v>0</v>
      </c>
      <c r="L43" s="64">
        <v>4698</v>
      </c>
      <c r="M43" s="64">
        <v>2349</v>
      </c>
      <c r="N43" s="64">
        <v>1500</v>
      </c>
      <c r="O43" s="64">
        <v>5283</v>
      </c>
      <c r="P43" s="64">
        <v>4000</v>
      </c>
      <c r="Q43" s="64">
        <v>2000</v>
      </c>
      <c r="R43" s="63">
        <v>1000</v>
      </c>
      <c r="S43" s="63">
        <v>5326</v>
      </c>
      <c r="T43" s="63">
        <v>5728</v>
      </c>
      <c r="U43" s="63">
        <v>5082</v>
      </c>
      <c r="V43" s="63">
        <v>5008</v>
      </c>
      <c r="W43" s="63">
        <v>5027</v>
      </c>
      <c r="X43" s="63">
        <v>3011.5084301105558</v>
      </c>
      <c r="Y43" s="63">
        <v>2782.4950907662828</v>
      </c>
      <c r="Z43" s="64"/>
      <c r="AA43" s="65" t="s">
        <v>273</v>
      </c>
      <c r="AB43" s="60">
        <v>68246.63</v>
      </c>
      <c r="AC43" s="60">
        <v>71993.45</v>
      </c>
      <c r="AD43" s="94">
        <f t="shared" si="1"/>
        <v>71110.840000000011</v>
      </c>
      <c r="AE43" s="99">
        <f t="shared" si="2"/>
        <v>1818.2830943535007</v>
      </c>
      <c r="AF43" s="104">
        <f t="shared" si="3"/>
        <v>2.556970349884069E-2</v>
      </c>
      <c r="AG43" s="98">
        <f t="shared" si="9"/>
        <v>1969.8066855496259</v>
      </c>
      <c r="AH43" s="104">
        <f t="shared" si="4"/>
        <v>2.7700512123744081E-2</v>
      </c>
      <c r="AI43" s="99">
        <f t="shared" si="5"/>
        <v>2121.3302767457508</v>
      </c>
      <c r="AJ43" s="104">
        <f t="shared" si="6"/>
        <v>2.9831320748647468E-2</v>
      </c>
    </row>
    <row r="44" spans="1:36" s="58" customFormat="1" ht="15" customHeight="1">
      <c r="A44" s="45" t="s">
        <v>271</v>
      </c>
      <c r="B44" s="46" t="s">
        <v>274</v>
      </c>
      <c r="C44" s="105">
        <v>76789.02</v>
      </c>
      <c r="D44" s="50" t="e">
        <f>(#REF!-E44)</f>
        <v>#REF!</v>
      </c>
      <c r="E44" s="51">
        <f>'[1]10-11 for 12-13 Asmt'!AW44</f>
        <v>38033.81</v>
      </c>
      <c r="F44" s="54" t="s">
        <v>275</v>
      </c>
      <c r="G44" s="54" t="s">
        <v>276</v>
      </c>
      <c r="H44" s="57"/>
      <c r="I44" s="56"/>
      <c r="J44" s="57"/>
      <c r="K44" s="57">
        <f t="shared" si="8"/>
        <v>0</v>
      </c>
      <c r="L44" s="57">
        <v>2467.1999999999998</v>
      </c>
      <c r="M44" s="57">
        <v>2115</v>
      </c>
      <c r="N44" s="57">
        <v>8374.2349529477488</v>
      </c>
      <c r="O44" s="57">
        <v>9131</v>
      </c>
      <c r="P44" s="57">
        <v>8891</v>
      </c>
      <c r="Q44" s="57">
        <v>9267.8970021998175</v>
      </c>
      <c r="R44" s="56">
        <v>9099</v>
      </c>
      <c r="S44" s="56">
        <v>6694</v>
      </c>
      <c r="T44" s="56">
        <v>8180</v>
      </c>
      <c r="U44" s="56">
        <v>6062</v>
      </c>
      <c r="V44" s="56">
        <v>1086</v>
      </c>
      <c r="W44" s="56">
        <v>1087</v>
      </c>
      <c r="X44" s="56">
        <v>4155.4519484187404</v>
      </c>
      <c r="Y44" s="56">
        <v>3967.2778594539946</v>
      </c>
      <c r="Z44" s="57"/>
      <c r="AA44" s="46" t="s">
        <v>274</v>
      </c>
      <c r="AB44" s="48">
        <v>68912.86</v>
      </c>
      <c r="AC44" s="48">
        <v>65342.53</v>
      </c>
      <c r="AD44" s="94">
        <f t="shared" si="1"/>
        <v>70348.136666666673</v>
      </c>
      <c r="AE44" s="99">
        <f t="shared" si="2"/>
        <v>1798.78099626259</v>
      </c>
      <c r="AF44" s="104">
        <f t="shared" si="3"/>
        <v>2.556970349884069E-2</v>
      </c>
      <c r="AG44" s="98">
        <f t="shared" si="9"/>
        <v>1948.6794126178056</v>
      </c>
      <c r="AH44" s="104">
        <f t="shared" si="4"/>
        <v>2.7700512123744081E-2</v>
      </c>
      <c r="AI44" s="99">
        <f t="shared" si="5"/>
        <v>2098.5778289730215</v>
      </c>
      <c r="AJ44" s="104">
        <f t="shared" si="6"/>
        <v>2.9831320748647472E-2</v>
      </c>
    </row>
    <row r="45" spans="1:36" s="58" customFormat="1" ht="15" customHeight="1">
      <c r="A45" s="45" t="s">
        <v>277</v>
      </c>
      <c r="B45" s="46" t="s">
        <v>278</v>
      </c>
      <c r="C45" s="105">
        <v>89221.08</v>
      </c>
      <c r="D45" s="50" t="e">
        <f>(#REF!-E45)</f>
        <v>#REF!</v>
      </c>
      <c r="E45" s="51">
        <f>'[1]10-11 for 12-13 Asmt'!AW45</f>
        <v>79374.22</v>
      </c>
      <c r="F45" s="54"/>
      <c r="G45" s="54" t="s">
        <v>280</v>
      </c>
      <c r="H45" s="57"/>
      <c r="I45" s="56"/>
      <c r="J45" s="57"/>
      <c r="K45" s="57">
        <f t="shared" si="8"/>
        <v>0</v>
      </c>
      <c r="L45" s="57">
        <v>11574.51683874831</v>
      </c>
      <c r="M45" s="57">
        <v>11971</v>
      </c>
      <c r="N45" s="57">
        <v>10794.476449094174</v>
      </c>
      <c r="O45" s="57">
        <v>10577</v>
      </c>
      <c r="P45" s="57">
        <v>9844</v>
      </c>
      <c r="Q45" s="57">
        <v>6740.3889508560387</v>
      </c>
      <c r="R45" s="56">
        <v>6233</v>
      </c>
      <c r="S45" s="56">
        <v>6764</v>
      </c>
      <c r="T45" s="56">
        <v>7041</v>
      </c>
      <c r="U45" s="56">
        <v>5828</v>
      </c>
      <c r="V45" s="56">
        <v>6548</v>
      </c>
      <c r="W45" s="56">
        <v>6997</v>
      </c>
      <c r="X45" s="56">
        <v>7093.0560603511585</v>
      </c>
      <c r="Y45" s="56">
        <v>8159.6094248720237</v>
      </c>
      <c r="Z45" s="57"/>
      <c r="AA45" s="46" t="s">
        <v>278</v>
      </c>
      <c r="AB45" s="48">
        <v>91519.47</v>
      </c>
      <c r="AC45" s="48">
        <v>82514.429999999993</v>
      </c>
      <c r="AD45" s="94">
        <f t="shared" si="1"/>
        <v>87751.659999999989</v>
      </c>
      <c r="AE45" s="99">
        <f t="shared" si="2"/>
        <v>2243.7839277310782</v>
      </c>
      <c r="AF45" s="104">
        <f t="shared" si="3"/>
        <v>2.5569703498840687E-2</v>
      </c>
      <c r="AG45" s="98">
        <f t="shared" si="9"/>
        <v>2430.765921708668</v>
      </c>
      <c r="AH45" s="104">
        <f t="shared" si="4"/>
        <v>2.7700512123744078E-2</v>
      </c>
      <c r="AI45" s="99">
        <f t="shared" si="5"/>
        <v>2617.7479156862582</v>
      </c>
      <c r="AJ45" s="104">
        <f t="shared" si="6"/>
        <v>2.9831320748647475E-2</v>
      </c>
    </row>
    <row r="46" spans="1:36" ht="15" customHeight="1">
      <c r="A46" s="45" t="s">
        <v>281</v>
      </c>
      <c r="B46" s="46" t="s">
        <v>197</v>
      </c>
      <c r="C46" s="105">
        <v>708839.06</v>
      </c>
      <c r="D46" s="50" t="e">
        <f>(#REF!-E46)</f>
        <v>#REF!</v>
      </c>
      <c r="E46" s="51">
        <f>'[1]10-11 for 12-13 Asmt'!AW46</f>
        <v>582281.03999999992</v>
      </c>
      <c r="F46" s="61"/>
      <c r="G46" s="61"/>
      <c r="H46" s="64"/>
      <c r="I46" s="63"/>
      <c r="J46" s="64"/>
      <c r="K46" s="64">
        <f t="shared" si="8"/>
        <v>0</v>
      </c>
      <c r="L46" s="64">
        <v>78526</v>
      </c>
      <c r="M46" s="64">
        <v>71576</v>
      </c>
      <c r="N46" s="64">
        <v>59079.692078715889</v>
      </c>
      <c r="O46" s="64">
        <v>60115</v>
      </c>
      <c r="P46" s="64">
        <v>51343</v>
      </c>
      <c r="Q46" s="64">
        <v>53508.584060745787</v>
      </c>
      <c r="R46" s="63">
        <v>54282</v>
      </c>
      <c r="S46" s="63">
        <v>43984</v>
      </c>
      <c r="T46" s="63">
        <v>53250</v>
      </c>
      <c r="U46" s="63">
        <v>47923</v>
      </c>
      <c r="V46" s="63">
        <v>47244</v>
      </c>
      <c r="W46" s="63">
        <v>48706</v>
      </c>
      <c r="X46" s="63">
        <v>45266.471740960398</v>
      </c>
      <c r="Y46" s="63">
        <v>34847.111319020158</v>
      </c>
      <c r="Z46" s="64"/>
      <c r="AA46" s="65" t="s">
        <v>197</v>
      </c>
      <c r="AB46" s="60">
        <v>802737.03</v>
      </c>
      <c r="AC46" s="60">
        <v>777228.04</v>
      </c>
      <c r="AD46" s="94">
        <f t="shared" si="1"/>
        <v>762934.71</v>
      </c>
      <c r="AE46" s="99">
        <f t="shared" si="2"/>
        <v>19508.014323674008</v>
      </c>
      <c r="AF46" s="104">
        <f t="shared" si="3"/>
        <v>2.5569703498840694E-2</v>
      </c>
      <c r="AG46" s="98">
        <f t="shared" si="9"/>
        <v>21133.682183980174</v>
      </c>
      <c r="AH46" s="104">
        <f t="shared" si="4"/>
        <v>2.7700512123744081E-2</v>
      </c>
      <c r="AI46" s="99">
        <f t="shared" si="5"/>
        <v>22759.350044286344</v>
      </c>
      <c r="AJ46" s="104">
        <f t="shared" si="6"/>
        <v>2.9831320748647475E-2</v>
      </c>
    </row>
    <row r="47" spans="1:36" s="58" customFormat="1" ht="15" customHeight="1">
      <c r="A47" s="45" t="s">
        <v>489</v>
      </c>
      <c r="B47" s="46" t="s">
        <v>411</v>
      </c>
      <c r="C47" s="105">
        <v>37007.46</v>
      </c>
      <c r="D47" s="50" t="e">
        <f>(#REF!-E47)</f>
        <v>#REF!</v>
      </c>
      <c r="E47" s="51">
        <f>'[1]10-11 for 12-13 Asmt'!AW44</f>
        <v>38033.81</v>
      </c>
      <c r="F47" s="54"/>
      <c r="G47" s="54" t="s">
        <v>280</v>
      </c>
      <c r="H47" s="57"/>
      <c r="I47" s="56"/>
      <c r="J47" s="57"/>
      <c r="K47" s="57">
        <f t="shared" ref="K47" si="10">SUM(I47:J47)</f>
        <v>0</v>
      </c>
      <c r="L47" s="57">
        <v>11574.51683874831</v>
      </c>
      <c r="M47" s="57">
        <v>11971</v>
      </c>
      <c r="N47" s="57">
        <v>10794.476449094174</v>
      </c>
      <c r="O47" s="57">
        <v>10577</v>
      </c>
      <c r="P47" s="57">
        <v>9844</v>
      </c>
      <c r="Q47" s="57">
        <v>6740.3889508560387</v>
      </c>
      <c r="R47" s="56">
        <v>6233</v>
      </c>
      <c r="S47" s="56">
        <v>6764</v>
      </c>
      <c r="T47" s="56">
        <v>7041</v>
      </c>
      <c r="U47" s="56">
        <v>5828</v>
      </c>
      <c r="V47" s="56">
        <v>6548</v>
      </c>
      <c r="W47" s="56">
        <v>6997</v>
      </c>
      <c r="X47" s="56">
        <v>7093.0560603511585</v>
      </c>
      <c r="Y47" s="56">
        <v>8159.6094248720237</v>
      </c>
      <c r="Z47" s="57"/>
      <c r="AA47" s="46" t="s">
        <v>278</v>
      </c>
      <c r="AB47" s="48">
        <v>0</v>
      </c>
      <c r="AC47" s="48">
        <v>0</v>
      </c>
      <c r="AD47" s="94">
        <f t="shared" ref="AD47" si="11">(C47+AB47+AC47)/3</f>
        <v>12335.82</v>
      </c>
      <c r="AE47" s="99">
        <f t="shared" si="2"/>
        <v>315.42325981506895</v>
      </c>
      <c r="AF47" s="104">
        <f t="shared" si="3"/>
        <v>2.556970349884069E-2</v>
      </c>
      <c r="AG47" s="98">
        <f t="shared" si="9"/>
        <v>341.7085314663247</v>
      </c>
      <c r="AH47" s="104">
        <f t="shared" ref="AH47" si="12">AG47/AD47</f>
        <v>2.7700512123744081E-2</v>
      </c>
      <c r="AI47" s="99">
        <f t="shared" si="5"/>
        <v>367.99380311758046</v>
      </c>
      <c r="AJ47" s="104">
        <f t="shared" si="6"/>
        <v>2.9831320748647472E-2</v>
      </c>
    </row>
    <row r="48" spans="1:36" s="58" customFormat="1" ht="15" customHeight="1">
      <c r="A48" s="45" t="s">
        <v>283</v>
      </c>
      <c r="B48" s="46" t="s">
        <v>284</v>
      </c>
      <c r="C48" s="105">
        <v>103419.64</v>
      </c>
      <c r="D48" s="50" t="e">
        <f>(#REF!-E48)</f>
        <v>#REF!</v>
      </c>
      <c r="E48" s="51">
        <f>'[1]10-11 for 12-13 Asmt'!AW47</f>
        <v>97374.450000000026</v>
      </c>
      <c r="F48" s="54"/>
      <c r="G48" s="54" t="s">
        <v>286</v>
      </c>
      <c r="H48" s="57"/>
      <c r="I48" s="56"/>
      <c r="J48" s="57"/>
      <c r="K48" s="57">
        <f t="shared" si="8"/>
        <v>0</v>
      </c>
      <c r="L48" s="57">
        <v>15644.752769492214</v>
      </c>
      <c r="M48" s="57">
        <v>20670</v>
      </c>
      <c r="N48" s="57">
        <v>16806.645091622591</v>
      </c>
      <c r="O48" s="57">
        <v>15869</v>
      </c>
      <c r="P48" s="57">
        <v>18140</v>
      </c>
      <c r="Q48" s="57">
        <v>17414.45363262168</v>
      </c>
      <c r="R48" s="56">
        <v>13037</v>
      </c>
      <c r="S48" s="56">
        <v>11482</v>
      </c>
      <c r="T48" s="56">
        <v>11387</v>
      </c>
      <c r="U48" s="56">
        <v>11834</v>
      </c>
      <c r="V48" s="56">
        <v>11750</v>
      </c>
      <c r="W48" s="56">
        <v>10365</v>
      </c>
      <c r="X48" s="56">
        <v>9857.6892177762329</v>
      </c>
      <c r="Y48" s="56">
        <v>7983.7264350378482</v>
      </c>
      <c r="Z48" s="57"/>
      <c r="AA48" s="46" t="s">
        <v>287</v>
      </c>
      <c r="AB48" s="48">
        <v>88794.93</v>
      </c>
      <c r="AC48" s="48">
        <v>93729.44</v>
      </c>
      <c r="AD48" s="94">
        <f t="shared" si="1"/>
        <v>95314.67</v>
      </c>
      <c r="AE48" s="99">
        <f t="shared" si="2"/>
        <v>2437.1678509898456</v>
      </c>
      <c r="AF48" s="104">
        <f t="shared" si="3"/>
        <v>2.556970349884069E-2</v>
      </c>
      <c r="AG48" s="98">
        <f t="shared" si="9"/>
        <v>2640.2651719056662</v>
      </c>
      <c r="AH48" s="104">
        <f t="shared" si="4"/>
        <v>2.7700512123744081E-2</v>
      </c>
      <c r="AI48" s="99">
        <f t="shared" si="5"/>
        <v>2843.3624928214867</v>
      </c>
      <c r="AJ48" s="104">
        <f t="shared" si="6"/>
        <v>2.9831320748647472E-2</v>
      </c>
    </row>
    <row r="49" spans="1:36" ht="15" customHeight="1">
      <c r="A49" s="45" t="s">
        <v>288</v>
      </c>
      <c r="B49" s="46" t="s">
        <v>265</v>
      </c>
      <c r="C49" s="105">
        <v>582441.91</v>
      </c>
      <c r="D49" s="50" t="e">
        <f>(#REF!-E49)</f>
        <v>#REF!</v>
      </c>
      <c r="E49" s="51">
        <f>'[1]10-11 for 12-13 Asmt'!AW48</f>
        <v>533091.12</v>
      </c>
      <c r="F49" s="61"/>
      <c r="G49" s="61" t="s">
        <v>289</v>
      </c>
      <c r="H49" s="64"/>
      <c r="I49" s="63"/>
      <c r="J49" s="64"/>
      <c r="K49" s="64">
        <f t="shared" si="8"/>
        <v>0</v>
      </c>
      <c r="L49" s="64">
        <v>65877.520495027813</v>
      </c>
      <c r="M49" s="64">
        <v>63477</v>
      </c>
      <c r="N49" s="64">
        <v>63610.61724712867</v>
      </c>
      <c r="O49" s="64">
        <v>60824</v>
      </c>
      <c r="P49" s="64">
        <v>58203</v>
      </c>
      <c r="Q49" s="64">
        <v>51183.242166868033</v>
      </c>
      <c r="R49" s="63">
        <v>54778</v>
      </c>
      <c r="S49" s="63">
        <v>60381</v>
      </c>
      <c r="T49" s="63">
        <v>38286</v>
      </c>
      <c r="U49" s="63">
        <v>49498</v>
      </c>
      <c r="V49" s="63">
        <v>43648</v>
      </c>
      <c r="W49" s="63">
        <v>32730</v>
      </c>
      <c r="X49" s="63">
        <v>37797.506977975972</v>
      </c>
      <c r="Y49" s="63">
        <v>36830.148070379655</v>
      </c>
      <c r="Z49" s="64"/>
      <c r="AA49" s="65" t="s">
        <v>265</v>
      </c>
      <c r="AB49" s="60">
        <v>538326.74</v>
      </c>
      <c r="AC49" s="60">
        <v>495432.21</v>
      </c>
      <c r="AD49" s="94">
        <f t="shared" si="1"/>
        <v>538733.62</v>
      </c>
      <c r="AE49" s="99">
        <f t="shared" si="2"/>
        <v>13775.25892825711</v>
      </c>
      <c r="AF49" s="104">
        <f t="shared" si="3"/>
        <v>2.556970349884069E-2</v>
      </c>
      <c r="AG49" s="98">
        <f t="shared" si="9"/>
        <v>14923.197172278537</v>
      </c>
      <c r="AH49" s="104">
        <f t="shared" si="4"/>
        <v>2.7700512123744081E-2</v>
      </c>
      <c r="AI49" s="99">
        <f t="shared" si="5"/>
        <v>16071.135416299963</v>
      </c>
      <c r="AJ49" s="104">
        <f t="shared" si="6"/>
        <v>2.9831320748647472E-2</v>
      </c>
    </row>
    <row r="50" spans="1:36" ht="15" customHeight="1">
      <c r="A50" s="45" t="s">
        <v>290</v>
      </c>
      <c r="B50" s="46" t="s">
        <v>136</v>
      </c>
      <c r="C50" s="105">
        <v>955059.79</v>
      </c>
      <c r="D50" s="50" t="e">
        <f>(#REF!-E50)</f>
        <v>#REF!</v>
      </c>
      <c r="E50" s="51">
        <f>'[1]10-11 for 12-13 Asmt'!AW49</f>
        <v>537716.05999999982</v>
      </c>
      <c r="F50" s="61"/>
      <c r="G50" s="61"/>
      <c r="H50" s="64"/>
      <c r="I50" s="63"/>
      <c r="J50" s="64"/>
      <c r="K50" s="64">
        <f t="shared" si="8"/>
        <v>0</v>
      </c>
      <c r="L50" s="64">
        <v>81254.946866899249</v>
      </c>
      <c r="M50" s="64">
        <v>78636</v>
      </c>
      <c r="N50" s="64">
        <v>70347.963423915717</v>
      </c>
      <c r="O50" s="64">
        <v>62096</v>
      </c>
      <c r="P50" s="64">
        <v>61299</v>
      </c>
      <c r="Q50" s="64">
        <v>54746.57439803701</v>
      </c>
      <c r="R50" s="63">
        <v>42120</v>
      </c>
      <c r="S50" s="63">
        <v>40266</v>
      </c>
      <c r="T50" s="63">
        <v>37596</v>
      </c>
      <c r="U50" s="63">
        <v>34350</v>
      </c>
      <c r="V50" s="63">
        <v>34838</v>
      </c>
      <c r="W50" s="63">
        <v>29091</v>
      </c>
      <c r="X50" s="63">
        <v>27430.394565780032</v>
      </c>
      <c r="Y50" s="63">
        <v>31340.658378691718</v>
      </c>
      <c r="Z50" s="64"/>
      <c r="AA50" s="65" t="s">
        <v>136</v>
      </c>
      <c r="AB50" s="60">
        <v>898506.58</v>
      </c>
      <c r="AC50" s="60">
        <v>880935.17</v>
      </c>
      <c r="AD50" s="94">
        <f t="shared" si="1"/>
        <v>911500.51333333331</v>
      </c>
      <c r="AE50" s="99">
        <f t="shared" si="2"/>
        <v>23306.797864974418</v>
      </c>
      <c r="AF50" s="104">
        <f t="shared" si="3"/>
        <v>2.556970349884069E-2</v>
      </c>
      <c r="AG50" s="98">
        <f t="shared" si="9"/>
        <v>25249.031020388953</v>
      </c>
      <c r="AH50" s="104">
        <f t="shared" si="4"/>
        <v>2.7700512123744081E-2</v>
      </c>
      <c r="AI50" s="99">
        <f t="shared" si="5"/>
        <v>27191.264175803488</v>
      </c>
      <c r="AJ50" s="104">
        <f t="shared" si="6"/>
        <v>2.9831320748647472E-2</v>
      </c>
    </row>
    <row r="51" spans="1:36" s="58" customFormat="1" ht="15" customHeight="1">
      <c r="A51" s="45" t="s">
        <v>292</v>
      </c>
      <c r="B51" s="46" t="s">
        <v>293</v>
      </c>
      <c r="C51" s="105">
        <v>44561.01</v>
      </c>
      <c r="D51" s="50" t="e">
        <f>(#REF!-E51)</f>
        <v>#REF!</v>
      </c>
      <c r="E51" s="51">
        <f>'[1]10-11 for 12-13 Asmt'!AW50</f>
        <v>50392.41</v>
      </c>
      <c r="F51" s="54" t="s">
        <v>295</v>
      </c>
      <c r="G51" s="54" t="s">
        <v>296</v>
      </c>
      <c r="H51" s="57"/>
      <c r="I51" s="57"/>
      <c r="J51" s="57"/>
      <c r="K51" s="57">
        <f t="shared" si="8"/>
        <v>0</v>
      </c>
      <c r="L51" s="57">
        <v>2005.6540000000002</v>
      </c>
      <c r="M51" s="57">
        <v>1912</v>
      </c>
      <c r="N51" s="57">
        <v>6000</v>
      </c>
      <c r="O51" s="57">
        <v>3000</v>
      </c>
      <c r="P51" s="57">
        <v>1500</v>
      </c>
      <c r="Q51" s="57">
        <v>750</v>
      </c>
      <c r="R51" s="56">
        <v>1000</v>
      </c>
      <c r="S51" s="56">
        <v>1000</v>
      </c>
      <c r="T51" s="56">
        <v>1000</v>
      </c>
      <c r="U51" s="56">
        <v>1100</v>
      </c>
      <c r="V51" s="56">
        <v>1070</v>
      </c>
      <c r="W51" s="56">
        <v>1062</v>
      </c>
      <c r="X51" s="56">
        <v>1829.766097643073</v>
      </c>
      <c r="Y51" s="56">
        <v>1000</v>
      </c>
      <c r="Z51" s="57"/>
      <c r="AA51" s="46" t="s">
        <v>293</v>
      </c>
      <c r="AB51" s="48">
        <v>51396.51</v>
      </c>
      <c r="AC51" s="48">
        <v>54148.23</v>
      </c>
      <c r="AD51" s="94">
        <f t="shared" si="1"/>
        <v>50035.25</v>
      </c>
      <c r="AE51" s="99">
        <f t="shared" si="2"/>
        <v>1279.3865069903688</v>
      </c>
      <c r="AF51" s="104">
        <f t="shared" si="3"/>
        <v>2.5569703498840694E-2</v>
      </c>
      <c r="AG51" s="98">
        <f t="shared" si="9"/>
        <v>1386.0020492395661</v>
      </c>
      <c r="AH51" s="104">
        <f t="shared" si="4"/>
        <v>2.7700512123744081E-2</v>
      </c>
      <c r="AI51" s="99">
        <f t="shared" si="5"/>
        <v>1492.6175914887635</v>
      </c>
      <c r="AJ51" s="104">
        <f t="shared" si="6"/>
        <v>2.9831320748647475E-2</v>
      </c>
    </row>
    <row r="52" spans="1:36" s="58" customFormat="1" ht="15" customHeight="1">
      <c r="A52" s="45" t="s">
        <v>297</v>
      </c>
      <c r="B52" s="46" t="s">
        <v>197</v>
      </c>
      <c r="C52" s="108">
        <v>509865.85</v>
      </c>
      <c r="D52" s="50" t="e">
        <f>(#REF!-E52)</f>
        <v>#REF!</v>
      </c>
      <c r="E52" s="51">
        <f>'[1]10-11 for 12-13 Asmt'!AW51</f>
        <v>389608.17000000004</v>
      </c>
      <c r="F52" s="48"/>
      <c r="G52" s="54" t="s">
        <v>299</v>
      </c>
      <c r="H52" s="57"/>
      <c r="I52" s="56"/>
      <c r="J52" s="57"/>
      <c r="K52" s="57">
        <f t="shared" si="8"/>
        <v>0</v>
      </c>
      <c r="L52" s="57">
        <v>33821.953895867817</v>
      </c>
      <c r="M52" s="57">
        <v>49069</v>
      </c>
      <c r="N52" s="57">
        <v>41199.408500133075</v>
      </c>
      <c r="O52" s="57">
        <v>37911</v>
      </c>
      <c r="P52" s="57">
        <v>40844</v>
      </c>
      <c r="Q52" s="57">
        <v>39857.74744169099</v>
      </c>
      <c r="R52" s="56">
        <v>29208</v>
      </c>
      <c r="S52" s="56">
        <v>20118</v>
      </c>
      <c r="T52" s="56">
        <v>25522</v>
      </c>
      <c r="U52" s="56">
        <v>21141</v>
      </c>
      <c r="V52" s="56">
        <v>18574</v>
      </c>
      <c r="W52" s="56">
        <v>19025</v>
      </c>
      <c r="X52" s="56">
        <v>10314.681283322559</v>
      </c>
      <c r="Y52" s="56">
        <v>7483.1121048760442</v>
      </c>
      <c r="Z52" s="57"/>
      <c r="AA52" s="46" t="s">
        <v>197</v>
      </c>
      <c r="AB52" s="48">
        <v>492924.98</v>
      </c>
      <c r="AC52" s="48">
        <v>495042</v>
      </c>
      <c r="AD52" s="111">
        <f t="shared" si="1"/>
        <v>499277.61000000004</v>
      </c>
      <c r="AE52" s="109">
        <f t="shared" si="2"/>
        <v>12766.380451309818</v>
      </c>
      <c r="AF52" s="104">
        <f t="shared" si="3"/>
        <v>2.556970349884069E-2</v>
      </c>
      <c r="AG52" s="110">
        <f t="shared" si="9"/>
        <v>13830.24548891897</v>
      </c>
      <c r="AH52" s="104">
        <f t="shared" si="4"/>
        <v>2.7700512123744081E-2</v>
      </c>
      <c r="AI52" s="109">
        <f t="shared" si="5"/>
        <v>14894.11052652812</v>
      </c>
      <c r="AJ52" s="104">
        <f t="shared" si="6"/>
        <v>2.9831320748647468E-2</v>
      </c>
    </row>
    <row r="53" spans="1:36" s="58" customFormat="1" ht="15" customHeight="1">
      <c r="A53" s="45" t="s">
        <v>297</v>
      </c>
      <c r="B53" s="46" t="s">
        <v>300</v>
      </c>
      <c r="C53" s="105">
        <v>33598.400000000001</v>
      </c>
      <c r="D53" s="50" t="e">
        <f>(#REF!-E53)</f>
        <v>#REF!</v>
      </c>
      <c r="E53" s="51">
        <f>'[1]10-11 for 12-13 Asmt'!AW52</f>
        <v>20561.349999999999</v>
      </c>
      <c r="F53" s="54" t="s">
        <v>232</v>
      </c>
      <c r="G53" s="54" t="s">
        <v>302</v>
      </c>
      <c r="H53" s="57"/>
      <c r="I53" s="56"/>
      <c r="J53" s="57"/>
      <c r="K53" s="57">
        <v>1541</v>
      </c>
      <c r="L53" s="57">
        <v>1450.4970000000003</v>
      </c>
      <c r="M53" s="57">
        <v>1322</v>
      </c>
      <c r="N53" s="57">
        <v>750</v>
      </c>
      <c r="O53" s="57">
        <v>1000</v>
      </c>
      <c r="P53" s="57">
        <v>1500</v>
      </c>
      <c r="Q53" s="57">
        <v>3000</v>
      </c>
      <c r="R53" s="56">
        <v>1500</v>
      </c>
      <c r="S53" s="56">
        <v>1000</v>
      </c>
      <c r="T53" s="56">
        <v>1000</v>
      </c>
      <c r="U53" s="56">
        <v>1100</v>
      </c>
      <c r="V53" s="56">
        <v>1096</v>
      </c>
      <c r="W53" s="56">
        <v>1076</v>
      </c>
      <c r="X53" s="56">
        <v>2159.8201584263174</v>
      </c>
      <c r="Y53" s="56">
        <v>1000</v>
      </c>
      <c r="Z53" s="57"/>
      <c r="AA53" s="46" t="s">
        <v>300</v>
      </c>
      <c r="AB53" s="48">
        <v>33219.120000000003</v>
      </c>
      <c r="AC53" s="48">
        <v>28226.11</v>
      </c>
      <c r="AD53" s="94">
        <f t="shared" si="1"/>
        <v>31681.210000000003</v>
      </c>
      <c r="AE53" s="99">
        <f t="shared" si="2"/>
        <v>810.07914618450673</v>
      </c>
      <c r="AF53" s="104">
        <f t="shared" si="3"/>
        <v>2.556970349884069E-2</v>
      </c>
      <c r="AG53" s="98">
        <f t="shared" si="9"/>
        <v>877.58574169988231</v>
      </c>
      <c r="AH53" s="104">
        <f t="shared" si="4"/>
        <v>2.7700512123744081E-2</v>
      </c>
      <c r="AI53" s="99">
        <f t="shared" si="5"/>
        <v>945.09233721525788</v>
      </c>
      <c r="AJ53" s="104">
        <f t="shared" si="6"/>
        <v>2.9831320748647472E-2</v>
      </c>
    </row>
    <row r="54" spans="1:36" ht="15" customHeight="1">
      <c r="A54" s="45" t="s">
        <v>303</v>
      </c>
      <c r="B54" s="46" t="s">
        <v>166</v>
      </c>
      <c r="C54" s="105">
        <v>518389.2</v>
      </c>
      <c r="D54" s="50" t="e">
        <f>(#REF!-E54)</f>
        <v>#REF!</v>
      </c>
      <c r="E54" s="51">
        <f>'[1]10-11 for 12-13 Asmt'!AW53</f>
        <v>415419.99000000022</v>
      </c>
      <c r="F54" s="61"/>
      <c r="G54" s="61" t="s">
        <v>305</v>
      </c>
      <c r="H54" s="64"/>
      <c r="I54" s="63"/>
      <c r="J54" s="64"/>
      <c r="K54" s="64">
        <f>SUM(I54:J54)</f>
        <v>0</v>
      </c>
      <c r="L54" s="64">
        <v>47721.854645252723</v>
      </c>
      <c r="M54" s="64">
        <v>52978</v>
      </c>
      <c r="N54" s="64">
        <v>46202.628570429923</v>
      </c>
      <c r="O54" s="64">
        <v>37508</v>
      </c>
      <c r="P54" s="64">
        <v>38137</v>
      </c>
      <c r="Q54" s="64">
        <v>36080.421517005881</v>
      </c>
      <c r="R54" s="63">
        <v>31004</v>
      </c>
      <c r="S54" s="63">
        <v>33298</v>
      </c>
      <c r="T54" s="63">
        <v>31292</v>
      </c>
      <c r="U54" s="63">
        <v>25627</v>
      </c>
      <c r="V54" s="63">
        <v>18454</v>
      </c>
      <c r="W54" s="63">
        <v>13473</v>
      </c>
      <c r="X54" s="63">
        <v>22883.430129417742</v>
      </c>
      <c r="Y54" s="63">
        <v>15419.40970394601</v>
      </c>
      <c r="Z54" s="64"/>
      <c r="AA54" s="65" t="s">
        <v>306</v>
      </c>
      <c r="AB54" s="60">
        <v>504094.93</v>
      </c>
      <c r="AC54" s="60">
        <v>504240.84</v>
      </c>
      <c r="AD54" s="94">
        <f t="shared" si="1"/>
        <v>508908.3233333333</v>
      </c>
      <c r="AE54" s="99">
        <f t="shared" si="2"/>
        <v>13012.634935725482</v>
      </c>
      <c r="AF54" s="104">
        <f t="shared" si="3"/>
        <v>2.556970349884069E-2</v>
      </c>
      <c r="AG54" s="98">
        <f t="shared" si="9"/>
        <v>14097.021180369273</v>
      </c>
      <c r="AH54" s="104">
        <f t="shared" si="4"/>
        <v>2.7700512123744081E-2</v>
      </c>
      <c r="AI54" s="99">
        <f t="shared" si="5"/>
        <v>15181.407425013062</v>
      </c>
      <c r="AJ54" s="104">
        <f t="shared" si="6"/>
        <v>2.9831320748647472E-2</v>
      </c>
    </row>
    <row r="55" spans="1:36" ht="15" customHeight="1">
      <c r="A55" s="45" t="s">
        <v>303</v>
      </c>
      <c r="B55" s="46" t="s">
        <v>307</v>
      </c>
      <c r="C55" s="105">
        <v>131158.10999999999</v>
      </c>
      <c r="D55" s="50">
        <v>-8237.2699999999895</v>
      </c>
      <c r="E55" s="51">
        <f>'[1]10-11 for 12-13 Asmt'!AW54</f>
        <v>106914.81</v>
      </c>
      <c r="F55" s="61"/>
      <c r="G55" s="61" t="s">
        <v>309</v>
      </c>
      <c r="H55" s="64"/>
      <c r="I55" s="63"/>
      <c r="J55" s="64"/>
      <c r="K55" s="64">
        <f>SUM(I55:J55)</f>
        <v>0</v>
      </c>
      <c r="L55" s="64">
        <v>14693.089205515866</v>
      </c>
      <c r="M55" s="64">
        <v>16838</v>
      </c>
      <c r="N55" s="64">
        <v>16298.78639231512</v>
      </c>
      <c r="O55" s="64">
        <v>16787</v>
      </c>
      <c r="P55" s="64">
        <v>12952</v>
      </c>
      <c r="Q55" s="64">
        <v>20526.422313015501</v>
      </c>
      <c r="R55" s="63">
        <v>15672</v>
      </c>
      <c r="S55" s="63">
        <v>13445</v>
      </c>
      <c r="T55" s="63">
        <v>14242</v>
      </c>
      <c r="U55" s="63">
        <v>13780</v>
      </c>
      <c r="V55" s="63">
        <v>11970</v>
      </c>
      <c r="W55" s="63">
        <v>12358</v>
      </c>
      <c r="X55" s="63">
        <v>10329.84483259051</v>
      </c>
      <c r="Y55" s="63">
        <v>9245.9176481872037</v>
      </c>
      <c r="Z55" s="64"/>
      <c r="AA55" s="65" t="s">
        <v>307</v>
      </c>
      <c r="AB55" s="60">
        <v>118687.54</v>
      </c>
      <c r="AC55" s="60">
        <v>120771.98</v>
      </c>
      <c r="AD55" s="94">
        <f t="shared" si="1"/>
        <v>123539.20999999998</v>
      </c>
      <c r="AE55" s="99">
        <f t="shared" si="2"/>
        <v>3158.8609701810142</v>
      </c>
      <c r="AF55" s="104">
        <f t="shared" si="3"/>
        <v>2.556970349884069E-2</v>
      </c>
      <c r="AG55" s="98">
        <f t="shared" si="9"/>
        <v>3422.0993843627657</v>
      </c>
      <c r="AH55" s="104">
        <f t="shared" si="4"/>
        <v>2.7700512123744084E-2</v>
      </c>
      <c r="AI55" s="99">
        <f t="shared" si="5"/>
        <v>3685.3377985445168</v>
      </c>
      <c r="AJ55" s="104">
        <f t="shared" si="6"/>
        <v>2.9831320748647472E-2</v>
      </c>
    </row>
    <row r="56" spans="1:36" ht="15" customHeight="1">
      <c r="A56" s="45" t="s">
        <v>303</v>
      </c>
      <c r="B56" s="46" t="s">
        <v>310</v>
      </c>
      <c r="C56" s="105">
        <v>260336.48</v>
      </c>
      <c r="D56" s="50">
        <v>8415.7900000000081</v>
      </c>
      <c r="E56" s="51">
        <f>'[1]10-11 for 12-13 Asmt'!AW55</f>
        <v>228166.52</v>
      </c>
      <c r="F56" s="61"/>
      <c r="G56" s="61"/>
      <c r="H56" s="64"/>
      <c r="I56" s="63"/>
      <c r="J56" s="64"/>
      <c r="K56" s="64">
        <f>SUM(I56:J56)</f>
        <v>0</v>
      </c>
      <c r="L56" s="64">
        <v>37510.878748401454</v>
      </c>
      <c r="M56" s="64">
        <v>36907</v>
      </c>
      <c r="N56" s="64">
        <v>36285.289725934475</v>
      </c>
      <c r="O56" s="64">
        <v>32956</v>
      </c>
      <c r="P56" s="64">
        <v>19522</v>
      </c>
      <c r="Q56" s="64">
        <v>35815.580128806439</v>
      </c>
      <c r="R56" s="63">
        <v>18807</v>
      </c>
      <c r="S56" s="63">
        <v>27417</v>
      </c>
      <c r="T56" s="63">
        <v>29818</v>
      </c>
      <c r="U56" s="63">
        <v>17825</v>
      </c>
      <c r="V56" s="63">
        <v>20010</v>
      </c>
      <c r="W56" s="63">
        <v>16106</v>
      </c>
      <c r="X56" s="63">
        <v>17536.703139592661</v>
      </c>
      <c r="Y56" s="63">
        <v>16342.869880531412</v>
      </c>
      <c r="Z56" s="64"/>
      <c r="AA56" s="65" t="s">
        <v>312</v>
      </c>
      <c r="AB56" s="60">
        <v>206870.42</v>
      </c>
      <c r="AC56" s="60">
        <v>196452.72</v>
      </c>
      <c r="AD56" s="94">
        <f t="shared" si="1"/>
        <v>221219.87333333332</v>
      </c>
      <c r="AE56" s="99">
        <f t="shared" si="2"/>
        <v>5656.5265691844279</v>
      </c>
      <c r="AF56" s="104">
        <f t="shared" si="3"/>
        <v>2.5569703498840694E-2</v>
      </c>
      <c r="AG56" s="98">
        <f t="shared" si="9"/>
        <v>6127.90378328313</v>
      </c>
      <c r="AH56" s="104">
        <f t="shared" si="4"/>
        <v>2.7700512123744081E-2</v>
      </c>
      <c r="AI56" s="99">
        <f t="shared" si="5"/>
        <v>6599.2809973818321</v>
      </c>
      <c r="AJ56" s="104">
        <f t="shared" si="6"/>
        <v>2.9831320748647472E-2</v>
      </c>
    </row>
    <row r="57" spans="1:36" s="58" customFormat="1" ht="15" customHeight="1">
      <c r="A57" s="45" t="s">
        <v>303</v>
      </c>
      <c r="B57" s="46" t="s">
        <v>313</v>
      </c>
      <c r="C57" s="105">
        <v>448630.89</v>
      </c>
      <c r="D57" s="50">
        <v>34901.639999999985</v>
      </c>
      <c r="E57" s="51">
        <f>'[1]10-11 for 12-13 Asmt'!AW56</f>
        <v>242162.19</v>
      </c>
      <c r="F57" s="54" t="s">
        <v>315</v>
      </c>
      <c r="G57" s="54" t="s">
        <v>316</v>
      </c>
      <c r="H57" s="57"/>
      <c r="I57" s="56"/>
      <c r="J57" s="57"/>
      <c r="K57" s="57">
        <f>SUM(I57:J57)</f>
        <v>0</v>
      </c>
      <c r="L57" s="57">
        <v>42085.889267487757</v>
      </c>
      <c r="M57" s="57">
        <v>44938</v>
      </c>
      <c r="N57" s="57">
        <v>44121.744783365131</v>
      </c>
      <c r="O57" s="57">
        <v>43378</v>
      </c>
      <c r="P57" s="57">
        <v>49115</v>
      </c>
      <c r="Q57" s="57">
        <v>40809.581887465116</v>
      </c>
      <c r="R57" s="56">
        <v>38996</v>
      </c>
      <c r="S57" s="56">
        <v>40032</v>
      </c>
      <c r="T57" s="56">
        <v>28344</v>
      </c>
      <c r="U57" s="56">
        <v>31425</v>
      </c>
      <c r="V57" s="56">
        <v>27654</v>
      </c>
      <c r="W57" s="56">
        <v>26475</v>
      </c>
      <c r="X57" s="56">
        <v>21116.334952615794</v>
      </c>
      <c r="Y57" s="56">
        <v>20522.086634977353</v>
      </c>
      <c r="Z57" s="57"/>
      <c r="AA57" s="46" t="s">
        <v>313</v>
      </c>
      <c r="AB57" s="48">
        <v>429947.38</v>
      </c>
      <c r="AC57" s="48">
        <v>413786.52</v>
      </c>
      <c r="AD57" s="94">
        <f t="shared" si="1"/>
        <v>430788.26333333337</v>
      </c>
      <c r="AE57" s="99">
        <f t="shared" si="2"/>
        <v>11015.128164213838</v>
      </c>
      <c r="AF57" s="104">
        <f t="shared" si="3"/>
        <v>2.556970349884069E-2</v>
      </c>
      <c r="AG57" s="98">
        <f t="shared" si="9"/>
        <v>11933.055511231658</v>
      </c>
      <c r="AH57" s="104">
        <f t="shared" si="4"/>
        <v>2.7700512123744078E-2</v>
      </c>
      <c r="AI57" s="99">
        <f t="shared" si="5"/>
        <v>12850.982858249477</v>
      </c>
      <c r="AJ57" s="104">
        <f t="shared" si="6"/>
        <v>2.9831320748647468E-2</v>
      </c>
    </row>
    <row r="58" spans="1:36" ht="15" customHeight="1">
      <c r="A58" s="45" t="s">
        <v>317</v>
      </c>
      <c r="B58" s="46" t="s">
        <v>318</v>
      </c>
      <c r="C58" s="105">
        <v>36106.65</v>
      </c>
      <c r="D58" s="50">
        <v>12560.670000000013</v>
      </c>
      <c r="E58" s="51">
        <f>'[1]10-11 for 12-13 Asmt'!AW57</f>
        <v>33626.150000000009</v>
      </c>
      <c r="F58" s="60"/>
      <c r="G58" s="61"/>
      <c r="H58" s="64"/>
      <c r="I58" s="63"/>
      <c r="J58" s="64"/>
      <c r="K58" s="64">
        <v>2022</v>
      </c>
      <c r="L58" s="64">
        <v>1560.4585000000002</v>
      </c>
      <c r="M58" s="64">
        <v>1793</v>
      </c>
      <c r="N58" s="64">
        <v>1000</v>
      </c>
      <c r="O58" s="64">
        <v>6141</v>
      </c>
      <c r="P58" s="64">
        <v>6657</v>
      </c>
      <c r="Q58" s="64">
        <v>6730.9977798148393</v>
      </c>
      <c r="R58" s="63">
        <v>6210</v>
      </c>
      <c r="S58" s="63">
        <v>5569</v>
      </c>
      <c r="T58" s="63">
        <v>5383</v>
      </c>
      <c r="U58" s="63">
        <v>5267</v>
      </c>
      <c r="V58" s="63">
        <v>5146</v>
      </c>
      <c r="W58" s="63">
        <v>5037</v>
      </c>
      <c r="X58" s="63">
        <v>4288.7229577013222</v>
      </c>
      <c r="Y58" s="63">
        <v>3337.3485772963618</v>
      </c>
      <c r="Z58" s="64"/>
      <c r="AA58" s="65" t="s">
        <v>318</v>
      </c>
      <c r="AB58" s="60">
        <v>36969.129999999997</v>
      </c>
      <c r="AC58" s="60">
        <v>40296.06</v>
      </c>
      <c r="AD58" s="94">
        <f t="shared" si="1"/>
        <v>37790.613333333335</v>
      </c>
      <c r="AE58" s="99">
        <f t="shared" si="2"/>
        <v>966.29477797266895</v>
      </c>
      <c r="AF58" s="104">
        <f t="shared" si="3"/>
        <v>2.556970349884069E-2</v>
      </c>
      <c r="AG58" s="98">
        <f t="shared" si="9"/>
        <v>1046.8193428037248</v>
      </c>
      <c r="AH58" s="104">
        <f t="shared" si="4"/>
        <v>2.7700512123744081E-2</v>
      </c>
      <c r="AI58" s="99">
        <f t="shared" si="5"/>
        <v>1127.3439076347804</v>
      </c>
      <c r="AJ58" s="104">
        <f t="shared" si="6"/>
        <v>2.9831320748647468E-2</v>
      </c>
    </row>
    <row r="59" spans="1:36" ht="15" customHeight="1">
      <c r="A59" s="45" t="s">
        <v>319</v>
      </c>
      <c r="B59" s="46" t="s">
        <v>320</v>
      </c>
      <c r="C59" s="105">
        <v>144919.81</v>
      </c>
      <c r="D59" s="50">
        <v>40258.12000000001</v>
      </c>
      <c r="E59" s="51">
        <f>'[1]10-11 for 12-13 Asmt'!AW58</f>
        <v>98962.320000000022</v>
      </c>
      <c r="F59" s="61"/>
      <c r="G59" s="61"/>
      <c r="H59" s="64"/>
      <c r="I59" s="63"/>
      <c r="J59" s="64"/>
      <c r="K59" s="64">
        <f t="shared" ref="K59:K66" si="13">SUM(I59:J59)</f>
        <v>0</v>
      </c>
      <c r="L59" s="64">
        <v>4980</v>
      </c>
      <c r="M59" s="64">
        <v>2490</v>
      </c>
      <c r="N59" s="64">
        <v>7013.4729819128625</v>
      </c>
      <c r="O59" s="64">
        <v>13261</v>
      </c>
      <c r="P59" s="64">
        <v>8983</v>
      </c>
      <c r="Q59" s="64">
        <v>5350</v>
      </c>
      <c r="R59" s="63">
        <v>2675</v>
      </c>
      <c r="S59" s="63">
        <v>500</v>
      </c>
      <c r="T59" s="63">
        <v>2200</v>
      </c>
      <c r="U59" s="63">
        <v>1100</v>
      </c>
      <c r="V59" s="63">
        <v>4435</v>
      </c>
      <c r="W59" s="63">
        <v>1092</v>
      </c>
      <c r="X59" s="63">
        <v>3477.3753099514897</v>
      </c>
      <c r="Y59" s="63">
        <v>3828.9023415792385</v>
      </c>
      <c r="Z59" s="64"/>
      <c r="AA59" s="65" t="s">
        <v>321</v>
      </c>
      <c r="AB59" s="60">
        <v>161604.79999999999</v>
      </c>
      <c r="AC59" s="60">
        <v>158274.78</v>
      </c>
      <c r="AD59" s="94">
        <f t="shared" si="1"/>
        <v>154933.13</v>
      </c>
      <c r="AE59" s="99">
        <f t="shared" si="2"/>
        <v>3961.5941962473398</v>
      </c>
      <c r="AF59" s="104">
        <f t="shared" si="3"/>
        <v>2.556970349884069E-2</v>
      </c>
      <c r="AG59" s="98">
        <f t="shared" si="9"/>
        <v>4291.7270459346182</v>
      </c>
      <c r="AH59" s="104">
        <f t="shared" si="4"/>
        <v>2.7700512123744084E-2</v>
      </c>
      <c r="AI59" s="99">
        <f t="shared" si="5"/>
        <v>4621.8598956218966</v>
      </c>
      <c r="AJ59" s="104">
        <f t="shared" si="6"/>
        <v>2.9831320748647475E-2</v>
      </c>
    </row>
    <row r="60" spans="1:36" s="58" customFormat="1" ht="15" customHeight="1">
      <c r="A60" s="45" t="s">
        <v>322</v>
      </c>
      <c r="B60" s="46" t="s">
        <v>183</v>
      </c>
      <c r="C60" s="105">
        <v>362377.15</v>
      </c>
      <c r="D60" s="50">
        <v>16876.930000000168</v>
      </c>
      <c r="E60" s="51">
        <f>'[1]10-11 for 12-13 Asmt'!AW59</f>
        <v>272887.83000000019</v>
      </c>
      <c r="F60" s="54" t="s">
        <v>324</v>
      </c>
      <c r="G60" s="54" t="s">
        <v>325</v>
      </c>
      <c r="H60" s="57"/>
      <c r="I60" s="56"/>
      <c r="J60" s="57"/>
      <c r="K60" s="57">
        <f t="shared" si="13"/>
        <v>0</v>
      </c>
      <c r="L60" s="57">
        <v>41669.69297595814</v>
      </c>
      <c r="M60" s="57">
        <v>43418</v>
      </c>
      <c r="N60" s="57">
        <v>39332.107496838085</v>
      </c>
      <c r="O60" s="57">
        <v>42486</v>
      </c>
      <c r="P60" s="57">
        <v>38562</v>
      </c>
      <c r="Q60" s="57">
        <v>34314.914968460995</v>
      </c>
      <c r="R60" s="56">
        <v>35417</v>
      </c>
      <c r="S60" s="56">
        <v>27830</v>
      </c>
      <c r="T60" s="56">
        <v>24335</v>
      </c>
      <c r="U60" s="56">
        <v>26799</v>
      </c>
      <c r="V60" s="56">
        <v>24600</v>
      </c>
      <c r="W60" s="56">
        <v>21757</v>
      </c>
      <c r="X60" s="56">
        <v>16898.590833917482</v>
      </c>
      <c r="Y60" s="56">
        <v>16341.215474700715</v>
      </c>
      <c r="Z60" s="57"/>
      <c r="AA60" s="46" t="s">
        <v>183</v>
      </c>
      <c r="AB60" s="48">
        <v>337231.68</v>
      </c>
      <c r="AC60" s="48">
        <v>338761.76</v>
      </c>
      <c r="AD60" s="94">
        <f t="shared" si="1"/>
        <v>346123.53</v>
      </c>
      <c r="AE60" s="99">
        <f t="shared" si="2"/>
        <v>8850.2760360720913</v>
      </c>
      <c r="AF60" s="104">
        <f t="shared" si="3"/>
        <v>2.556970349884069E-2</v>
      </c>
      <c r="AG60" s="98">
        <f t="shared" si="9"/>
        <v>9587.7990390780978</v>
      </c>
      <c r="AH60" s="104">
        <f t="shared" si="4"/>
        <v>2.7700512123744078E-2</v>
      </c>
      <c r="AI60" s="99">
        <f t="shared" si="5"/>
        <v>10325.322042084106</v>
      </c>
      <c r="AJ60" s="104">
        <f t="shared" si="6"/>
        <v>2.9831320748647472E-2</v>
      </c>
    </row>
    <row r="61" spans="1:36" ht="15" customHeight="1">
      <c r="A61" s="45" t="s">
        <v>326</v>
      </c>
      <c r="B61" s="46" t="s">
        <v>327</v>
      </c>
      <c r="C61" s="105">
        <v>85516.04</v>
      </c>
      <c r="D61" s="50">
        <v>2756.7400000000198</v>
      </c>
      <c r="E61" s="51">
        <f>'[1]10-11 for 12-13 Asmt'!AW60</f>
        <v>55229.649999999994</v>
      </c>
      <c r="F61" s="60"/>
      <c r="G61" s="60" t="s">
        <v>329</v>
      </c>
      <c r="H61" s="64"/>
      <c r="I61" s="63"/>
      <c r="J61" s="64"/>
      <c r="K61" s="64">
        <f t="shared" si="13"/>
        <v>0</v>
      </c>
      <c r="L61" s="64">
        <v>10476.798164154497</v>
      </c>
      <c r="M61" s="64">
        <v>10283</v>
      </c>
      <c r="N61" s="64">
        <v>7394.4075800076535</v>
      </c>
      <c r="O61" s="64">
        <v>8307</v>
      </c>
      <c r="P61" s="64">
        <v>8246</v>
      </c>
      <c r="Q61" s="64">
        <v>9515.9307069234201</v>
      </c>
      <c r="R61" s="63">
        <v>8509</v>
      </c>
      <c r="S61" s="63">
        <v>8145</v>
      </c>
      <c r="T61" s="63">
        <v>8410</v>
      </c>
      <c r="U61" s="63">
        <v>8514</v>
      </c>
      <c r="V61" s="63">
        <v>7818</v>
      </c>
      <c r="W61" s="63">
        <v>7551</v>
      </c>
      <c r="X61" s="63">
        <v>7217.77935809684</v>
      </c>
      <c r="Y61" s="63">
        <v>5975.1940854705499</v>
      </c>
      <c r="Z61" s="64"/>
      <c r="AA61" s="65" t="s">
        <v>330</v>
      </c>
      <c r="AB61" s="60">
        <v>68156.36</v>
      </c>
      <c r="AC61" s="60">
        <v>64201.85</v>
      </c>
      <c r="AD61" s="94">
        <f t="shared" si="1"/>
        <v>72624.75</v>
      </c>
      <c r="AE61" s="99">
        <f t="shared" si="2"/>
        <v>1856.9933241774306</v>
      </c>
      <c r="AF61" s="104">
        <f t="shared" si="3"/>
        <v>2.5569703498840694E-2</v>
      </c>
      <c r="AG61" s="98">
        <f t="shared" si="9"/>
        <v>2011.7427678588831</v>
      </c>
      <c r="AH61" s="104">
        <f t="shared" si="4"/>
        <v>2.7700512123744084E-2</v>
      </c>
      <c r="AI61" s="99">
        <f t="shared" si="5"/>
        <v>2166.4922115403356</v>
      </c>
      <c r="AJ61" s="104">
        <f t="shared" si="6"/>
        <v>2.9831320748647472E-2</v>
      </c>
    </row>
    <row r="62" spans="1:36" ht="15" customHeight="1">
      <c r="A62" s="45" t="s">
        <v>331</v>
      </c>
      <c r="B62" s="46" t="s">
        <v>332</v>
      </c>
      <c r="C62" s="105">
        <v>222363.3</v>
      </c>
      <c r="D62" s="50">
        <v>34058.070000000036</v>
      </c>
      <c r="E62" s="51">
        <f>'[1]10-11 for 12-13 Asmt'!AW61</f>
        <v>154707.49</v>
      </c>
      <c r="F62" s="61"/>
      <c r="G62" s="74" t="s">
        <v>334</v>
      </c>
      <c r="H62" s="64"/>
      <c r="I62" s="63"/>
      <c r="J62" s="64"/>
      <c r="K62" s="64">
        <f t="shared" si="13"/>
        <v>0</v>
      </c>
      <c r="L62" s="64">
        <v>17685.832645593811</v>
      </c>
      <c r="M62" s="64">
        <v>19984</v>
      </c>
      <c r="N62" s="64">
        <v>18907.433720040521</v>
      </c>
      <c r="O62" s="64">
        <v>18620</v>
      </c>
      <c r="P62" s="64">
        <v>14239</v>
      </c>
      <c r="Q62" s="64">
        <v>15681.765300790936</v>
      </c>
      <c r="R62" s="63">
        <v>12489</v>
      </c>
      <c r="S62" s="63">
        <v>15465</v>
      </c>
      <c r="T62" s="63">
        <v>15239</v>
      </c>
      <c r="U62" s="63">
        <v>14788</v>
      </c>
      <c r="V62" s="63">
        <v>10788</v>
      </c>
      <c r="W62" s="63">
        <v>11471</v>
      </c>
      <c r="X62" s="63">
        <v>10211.320501016247</v>
      </c>
      <c r="Y62" s="63">
        <v>9819.6174160039973</v>
      </c>
      <c r="Z62" s="64"/>
      <c r="AA62" s="65" t="s">
        <v>335</v>
      </c>
      <c r="AB62" s="60">
        <v>207055.35999999999</v>
      </c>
      <c r="AC62" s="60">
        <v>208009.25</v>
      </c>
      <c r="AD62" s="94">
        <f>(C62+AB62+AC62)/3</f>
        <v>212475.96999999997</v>
      </c>
      <c r="AE62" s="99">
        <f t="shared" si="2"/>
        <v>5432.9475535285692</v>
      </c>
      <c r="AF62" s="104">
        <f t="shared" si="3"/>
        <v>2.5569703498840694E-2</v>
      </c>
      <c r="AG62" s="98">
        <f t="shared" si="9"/>
        <v>5885.6931829892828</v>
      </c>
      <c r="AH62" s="104">
        <f t="shared" si="4"/>
        <v>2.7700512123744081E-2</v>
      </c>
      <c r="AI62" s="99">
        <f t="shared" si="5"/>
        <v>6338.4388124499974</v>
      </c>
      <c r="AJ62" s="104">
        <f t="shared" si="6"/>
        <v>2.9831320748647475E-2</v>
      </c>
    </row>
    <row r="63" spans="1:36" s="58" customFormat="1" ht="15" customHeight="1">
      <c r="A63" s="45" t="s">
        <v>336</v>
      </c>
      <c r="B63" s="46" t="s">
        <v>337</v>
      </c>
      <c r="C63" s="105">
        <v>85095.82</v>
      </c>
      <c r="D63" s="50" t="e">
        <f>(#REF!-E63)</f>
        <v>#REF!</v>
      </c>
      <c r="E63" s="51">
        <f>'[1]10-11 for 12-13 Asmt'!AW65</f>
        <v>127846.07999999999</v>
      </c>
      <c r="F63" s="54" t="s">
        <v>339</v>
      </c>
      <c r="G63" s="54" t="s">
        <v>340</v>
      </c>
      <c r="H63" s="57"/>
      <c r="I63" s="56"/>
      <c r="J63" s="57"/>
      <c r="K63" s="57">
        <f>SUM(I63:J63)</f>
        <v>0</v>
      </c>
      <c r="L63" s="57">
        <v>22179.122391462395</v>
      </c>
      <c r="M63" s="57">
        <v>21553</v>
      </c>
      <c r="N63" s="57">
        <v>18702.37221491948</v>
      </c>
      <c r="O63" s="57">
        <v>16830</v>
      </c>
      <c r="P63" s="57">
        <v>17927</v>
      </c>
      <c r="Q63" s="57">
        <v>17420.683528193662</v>
      </c>
      <c r="R63" s="56">
        <v>7476</v>
      </c>
      <c r="S63" s="56">
        <v>6126</v>
      </c>
      <c r="T63" s="56">
        <v>8612</v>
      </c>
      <c r="U63" s="56">
        <v>6698</v>
      </c>
      <c r="V63" s="56">
        <v>12420</v>
      </c>
      <c r="W63" s="56">
        <v>11267</v>
      </c>
      <c r="X63" s="56">
        <v>10135.684751699573</v>
      </c>
      <c r="Y63" s="56">
        <v>9361.0021745511604</v>
      </c>
      <c r="Z63" s="57"/>
      <c r="AA63" s="46" t="s">
        <v>341</v>
      </c>
      <c r="AB63" s="48">
        <v>149577.62</v>
      </c>
      <c r="AC63" s="60">
        <v>127570.23</v>
      </c>
      <c r="AD63" s="94">
        <f t="shared" ref="AD63:AD87" si="14">(C63+AB63+AC63)/3</f>
        <v>120747.89</v>
      </c>
      <c r="AE63" s="99">
        <f t="shared" si="2"/>
        <v>3087.4877454106309</v>
      </c>
      <c r="AF63" s="104">
        <f t="shared" si="3"/>
        <v>2.556970349884069E-2</v>
      </c>
      <c r="AG63" s="98">
        <f t="shared" si="9"/>
        <v>3344.778390861517</v>
      </c>
      <c r="AH63" s="104">
        <f t="shared" si="4"/>
        <v>2.7700512123744084E-2</v>
      </c>
      <c r="AI63" s="99">
        <f t="shared" si="5"/>
        <v>3602.0690363124027</v>
      </c>
      <c r="AJ63" s="104">
        <f t="shared" si="6"/>
        <v>2.9831320748647472E-2</v>
      </c>
    </row>
    <row r="64" spans="1:36" ht="15" customHeight="1">
      <c r="A64" s="45" t="s">
        <v>336</v>
      </c>
      <c r="B64" s="46" t="s">
        <v>342</v>
      </c>
      <c r="C64" s="105">
        <v>58888.12</v>
      </c>
      <c r="D64" s="96">
        <v>10566.730000000025</v>
      </c>
      <c r="E64" s="97">
        <f>'[1]10-11 for 12-13 Asmt'!AW62</f>
        <v>84625.989999999991</v>
      </c>
      <c r="F64" s="60"/>
      <c r="G64" s="61" t="s">
        <v>344</v>
      </c>
      <c r="H64" s="64"/>
      <c r="I64" s="63"/>
      <c r="J64" s="64"/>
      <c r="K64" s="64">
        <f>SUM(I64:J64)</f>
        <v>0</v>
      </c>
      <c r="L64" s="64">
        <v>5638</v>
      </c>
      <c r="M64" s="64">
        <v>2819</v>
      </c>
      <c r="N64" s="64">
        <v>10695.285027931803</v>
      </c>
      <c r="O64" s="64">
        <v>10741</v>
      </c>
      <c r="P64" s="64">
        <v>11200</v>
      </c>
      <c r="Q64" s="64">
        <v>10244.651030261859</v>
      </c>
      <c r="R64" s="63">
        <v>9929</v>
      </c>
      <c r="S64" s="63">
        <v>8536</v>
      </c>
      <c r="T64" s="63">
        <v>7360</v>
      </c>
      <c r="U64" s="63">
        <v>7080</v>
      </c>
      <c r="V64" s="63">
        <v>8540</v>
      </c>
      <c r="W64" s="63">
        <v>8404</v>
      </c>
      <c r="X64" s="63">
        <v>7235.3555976302778</v>
      </c>
      <c r="Y64" s="63">
        <v>6580.1564186398509</v>
      </c>
      <c r="Z64" s="64"/>
      <c r="AA64" s="65" t="s">
        <v>342</v>
      </c>
      <c r="AB64" s="60">
        <v>95930.57</v>
      </c>
      <c r="AC64" s="48">
        <v>103036.2</v>
      </c>
      <c r="AD64" s="94">
        <f t="shared" si="14"/>
        <v>85951.63</v>
      </c>
      <c r="AE64" s="99">
        <f t="shared" si="2"/>
        <v>2197.7576943420609</v>
      </c>
      <c r="AF64" s="104">
        <f t="shared" si="3"/>
        <v>2.5569703498840694E-2</v>
      </c>
      <c r="AG64" s="98">
        <f t="shared" si="9"/>
        <v>2380.9041688705656</v>
      </c>
      <c r="AH64" s="104">
        <f t="shared" si="4"/>
        <v>2.7700512123744081E-2</v>
      </c>
      <c r="AI64" s="99">
        <f t="shared" si="5"/>
        <v>2564.0506433990709</v>
      </c>
      <c r="AJ64" s="104">
        <f t="shared" si="6"/>
        <v>2.9831320748647475E-2</v>
      </c>
    </row>
    <row r="65" spans="1:36" s="58" customFormat="1" ht="15" customHeight="1">
      <c r="A65" s="45" t="s">
        <v>345</v>
      </c>
      <c r="B65" s="46" t="s">
        <v>346</v>
      </c>
      <c r="C65" s="105">
        <v>416783.9</v>
      </c>
      <c r="D65" s="96">
        <v>8168.0500000000029</v>
      </c>
      <c r="E65" s="97">
        <f>'[1]10-11 for 12-13 Asmt'!AW63</f>
        <v>57597.75</v>
      </c>
      <c r="F65" s="61" t="s">
        <v>348</v>
      </c>
      <c r="G65" s="61" t="s">
        <v>349</v>
      </c>
      <c r="H65" s="64"/>
      <c r="I65" s="63"/>
      <c r="J65" s="64"/>
      <c r="K65" s="64">
        <f t="shared" si="13"/>
        <v>0</v>
      </c>
      <c r="L65" s="64">
        <v>2920.9364999999998</v>
      </c>
      <c r="M65" s="64">
        <v>2256</v>
      </c>
      <c r="N65" s="64">
        <v>9176.5908784157164</v>
      </c>
      <c r="O65" s="64">
        <v>6395</v>
      </c>
      <c r="P65" s="64">
        <v>3500</v>
      </c>
      <c r="Q65" s="64">
        <v>1750</v>
      </c>
      <c r="R65" s="63">
        <v>1000</v>
      </c>
      <c r="S65" s="63">
        <v>1000</v>
      </c>
      <c r="T65" s="63">
        <v>5451</v>
      </c>
      <c r="U65" s="63">
        <v>4665</v>
      </c>
      <c r="V65" s="63">
        <v>1104</v>
      </c>
      <c r="W65" s="63">
        <v>1078</v>
      </c>
      <c r="X65" s="63">
        <v>3854.6908003848175</v>
      </c>
      <c r="Y65" s="63">
        <v>500</v>
      </c>
      <c r="Z65" s="64"/>
      <c r="AA65" s="65" t="s">
        <v>346</v>
      </c>
      <c r="AB65" s="60">
        <v>80115.929999999993</v>
      </c>
      <c r="AC65" s="60">
        <v>65314.850000000006</v>
      </c>
      <c r="AD65" s="94">
        <f t="shared" si="14"/>
        <v>187404.89333333334</v>
      </c>
      <c r="AE65" s="99">
        <f t="shared" si="2"/>
        <v>4791.8875567651994</v>
      </c>
      <c r="AF65" s="104">
        <f t="shared" si="3"/>
        <v>2.5569703498840687E-2</v>
      </c>
      <c r="AG65" s="98">
        <f t="shared" si="9"/>
        <v>5191.2115198289657</v>
      </c>
      <c r="AH65" s="104">
        <f t="shared" si="4"/>
        <v>2.7700512123744078E-2</v>
      </c>
      <c r="AI65" s="99">
        <f t="shared" si="5"/>
        <v>5590.5354828927329</v>
      </c>
      <c r="AJ65" s="104">
        <f t="shared" si="6"/>
        <v>2.9831320748647472E-2</v>
      </c>
    </row>
    <row r="66" spans="1:36" ht="15" customHeight="1">
      <c r="A66" s="45" t="s">
        <v>350</v>
      </c>
      <c r="B66" s="46" t="s">
        <v>351</v>
      </c>
      <c r="C66" s="105">
        <v>156983.31</v>
      </c>
      <c r="D66" s="96" t="e">
        <f>(#REF!-E66)</f>
        <v>#REF!</v>
      </c>
      <c r="E66" s="97">
        <f>'[1]10-11 for 12-13 Asmt'!AW64</f>
        <v>316538.59000000003</v>
      </c>
      <c r="F66" s="61"/>
      <c r="G66" s="61" t="s">
        <v>353</v>
      </c>
      <c r="H66" s="64"/>
      <c r="I66" s="63"/>
      <c r="J66" s="64"/>
      <c r="K66" s="64">
        <f t="shared" si="13"/>
        <v>0</v>
      </c>
      <c r="L66" s="64">
        <v>43533.135685677124</v>
      </c>
      <c r="M66" s="64">
        <v>35331</v>
      </c>
      <c r="N66" s="64">
        <v>29230.054609820418</v>
      </c>
      <c r="O66" s="64">
        <v>17933</v>
      </c>
      <c r="P66" s="64">
        <v>17973</v>
      </c>
      <c r="Q66" s="64">
        <v>17631.739889550023</v>
      </c>
      <c r="R66" s="63">
        <v>17271</v>
      </c>
      <c r="S66" s="63">
        <v>14425</v>
      </c>
      <c r="T66" s="63">
        <v>15683</v>
      </c>
      <c r="U66" s="63">
        <v>15441</v>
      </c>
      <c r="V66" s="63">
        <v>11822</v>
      </c>
      <c r="W66" s="63">
        <v>9263</v>
      </c>
      <c r="X66" s="63">
        <v>10398.168728533796</v>
      </c>
      <c r="Y66" s="63">
        <v>10563.476309803928</v>
      </c>
      <c r="Z66" s="64"/>
      <c r="AA66" s="65" t="s">
        <v>351</v>
      </c>
      <c r="AB66" s="60">
        <v>412352.05</v>
      </c>
      <c r="AC66" s="60">
        <v>410619.12</v>
      </c>
      <c r="AD66" s="94">
        <f t="shared" si="14"/>
        <v>326651.49333333335</v>
      </c>
      <c r="AE66" s="99">
        <f t="shared" si="2"/>
        <v>8352.3818319868697</v>
      </c>
      <c r="AF66" s="104">
        <f t="shared" si="3"/>
        <v>2.556970349884069E-2</v>
      </c>
      <c r="AG66" s="98">
        <f t="shared" si="9"/>
        <v>9048.4136513191097</v>
      </c>
      <c r="AH66" s="104">
        <f t="shared" si="4"/>
        <v>2.7700512123744081E-2</v>
      </c>
      <c r="AI66" s="99">
        <f t="shared" si="5"/>
        <v>9744.4454706513479</v>
      </c>
      <c r="AJ66" s="104">
        <f t="shared" si="6"/>
        <v>2.9831320748647472E-2</v>
      </c>
    </row>
    <row r="67" spans="1:36" ht="15" customHeight="1">
      <c r="A67" s="45" t="s">
        <v>354</v>
      </c>
      <c r="B67" s="46" t="s">
        <v>355</v>
      </c>
      <c r="C67" s="105">
        <v>96147.98</v>
      </c>
      <c r="D67" s="50" t="e">
        <f>(#REF!-E67)</f>
        <v>#REF!</v>
      </c>
      <c r="E67" s="51">
        <f>'[1]10-11 for 12-13 Asmt'!AW66</f>
        <v>58213.55</v>
      </c>
      <c r="F67" s="61"/>
      <c r="G67" s="61" t="s">
        <v>357</v>
      </c>
      <c r="H67" s="64"/>
      <c r="I67" s="63"/>
      <c r="J67" s="64"/>
      <c r="K67" s="64">
        <v>2589</v>
      </c>
      <c r="L67" s="64">
        <v>7000</v>
      </c>
      <c r="M67" s="64">
        <v>3500</v>
      </c>
      <c r="N67" s="64">
        <v>1750</v>
      </c>
      <c r="O67" s="64">
        <v>5048</v>
      </c>
      <c r="P67" s="64">
        <v>7060</v>
      </c>
      <c r="Q67" s="64">
        <v>8685.1025993161184</v>
      </c>
      <c r="R67" s="63">
        <v>7432</v>
      </c>
      <c r="S67" s="63">
        <v>8167</v>
      </c>
      <c r="T67" s="63">
        <v>7846</v>
      </c>
      <c r="U67" s="63">
        <v>9289</v>
      </c>
      <c r="V67" s="63">
        <v>8032</v>
      </c>
      <c r="W67" s="63">
        <v>8284</v>
      </c>
      <c r="X67" s="63">
        <v>7934.5561878715016</v>
      </c>
      <c r="Y67" s="63">
        <v>4950.5780850973451</v>
      </c>
      <c r="Z67" s="64"/>
      <c r="AA67" s="65" t="s">
        <v>358</v>
      </c>
      <c r="AB67" s="60">
        <v>85496.83</v>
      </c>
      <c r="AC67" s="60">
        <v>88458.44</v>
      </c>
      <c r="AD67" s="94">
        <f t="shared" si="14"/>
        <v>90034.416666666672</v>
      </c>
      <c r="AE67" s="99">
        <f t="shared" si="2"/>
        <v>2302.1533388577473</v>
      </c>
      <c r="AF67" s="104">
        <f t="shared" si="3"/>
        <v>2.556970349884069E-2</v>
      </c>
      <c r="AG67" s="98">
        <f t="shared" si="9"/>
        <v>2493.9994504292263</v>
      </c>
      <c r="AH67" s="104">
        <f t="shared" si="4"/>
        <v>2.7700512123744081E-2</v>
      </c>
      <c r="AI67" s="99">
        <f t="shared" si="5"/>
        <v>2685.8455620007053</v>
      </c>
      <c r="AJ67" s="104">
        <f t="shared" si="6"/>
        <v>2.9831320748647472E-2</v>
      </c>
    </row>
    <row r="68" spans="1:36" s="58" customFormat="1" ht="15" customHeight="1">
      <c r="A68" s="45" t="s">
        <v>354</v>
      </c>
      <c r="B68" s="46" t="s">
        <v>359</v>
      </c>
      <c r="C68" s="105">
        <v>876800.18</v>
      </c>
      <c r="D68" s="50" t="e">
        <f>(#REF!-E68)</f>
        <v>#REF!</v>
      </c>
      <c r="E68" s="51">
        <f>'[1]10-11 for 12-13 Asmt'!AW67</f>
        <v>368032</v>
      </c>
      <c r="F68" s="54"/>
      <c r="G68" s="54" t="s">
        <v>361</v>
      </c>
      <c r="H68" s="57"/>
      <c r="I68" s="56"/>
      <c r="J68" s="57"/>
      <c r="K68" s="57">
        <f t="shared" ref="K68:K82" si="15">SUM(I68:J68)</f>
        <v>0</v>
      </c>
      <c r="L68" s="57">
        <v>64109.560414751439</v>
      </c>
      <c r="M68" s="57">
        <v>63502</v>
      </c>
      <c r="N68" s="57">
        <v>56095.536361500468</v>
      </c>
      <c r="O68" s="57">
        <v>58851</v>
      </c>
      <c r="P68" s="57">
        <v>46143</v>
      </c>
      <c r="Q68" s="57">
        <v>36843.107727258597</v>
      </c>
      <c r="R68" s="56">
        <v>39407</v>
      </c>
      <c r="S68" s="56">
        <v>32139</v>
      </c>
      <c r="T68" s="56">
        <v>32703</v>
      </c>
      <c r="U68" s="56">
        <v>14594</v>
      </c>
      <c r="V68" s="56">
        <v>11150</v>
      </c>
      <c r="W68" s="56">
        <v>14499</v>
      </c>
      <c r="X68" s="56">
        <v>11889.527347975951</v>
      </c>
      <c r="Y68" s="56">
        <v>15911.50733037552</v>
      </c>
      <c r="Z68" s="57"/>
      <c r="AA68" s="46" t="s">
        <v>362</v>
      </c>
      <c r="AB68" s="48">
        <v>965235</v>
      </c>
      <c r="AC68" s="48">
        <v>961476</v>
      </c>
      <c r="AD68" s="94">
        <f t="shared" si="14"/>
        <v>934503.72666666668</v>
      </c>
      <c r="AE68" s="99">
        <f t="shared" si="2"/>
        <v>23894.983209428334</v>
      </c>
      <c r="AF68" s="104">
        <f t="shared" si="3"/>
        <v>2.5569703498840694E-2</v>
      </c>
      <c r="AG68" s="98">
        <f t="shared" si="9"/>
        <v>25886.231810214027</v>
      </c>
      <c r="AH68" s="104">
        <f t="shared" si="4"/>
        <v>2.7700512123744084E-2</v>
      </c>
      <c r="AI68" s="99">
        <f t="shared" si="5"/>
        <v>27877.48041099972</v>
      </c>
      <c r="AJ68" s="104">
        <f t="shared" si="6"/>
        <v>2.9831320748647472E-2</v>
      </c>
    </row>
    <row r="69" spans="1:36" s="58" customFormat="1" ht="15" customHeight="1">
      <c r="A69" s="45" t="s">
        <v>363</v>
      </c>
      <c r="B69" s="46" t="s">
        <v>364</v>
      </c>
      <c r="C69" s="105">
        <v>75289.429999999993</v>
      </c>
      <c r="D69" s="50" t="e">
        <f>(#REF!-E69)</f>
        <v>#REF!</v>
      </c>
      <c r="E69" s="51">
        <f>'[1]10-11 for 12-13 Asmt'!AW68</f>
        <v>55324.9</v>
      </c>
      <c r="F69" s="54"/>
      <c r="G69" s="54"/>
      <c r="H69" s="57"/>
      <c r="I69" s="57"/>
      <c r="J69" s="57"/>
      <c r="K69" s="57">
        <f t="shared" si="15"/>
        <v>0</v>
      </c>
      <c r="L69" s="57">
        <v>10563.858287939283</v>
      </c>
      <c r="M69" s="57">
        <v>10596</v>
      </c>
      <c r="N69" s="57">
        <v>6000</v>
      </c>
      <c r="O69" s="57">
        <v>3000</v>
      </c>
      <c r="P69" s="57">
        <v>1500</v>
      </c>
      <c r="Q69" s="57">
        <v>7039.4993189481975</v>
      </c>
      <c r="R69" s="56">
        <v>5608</v>
      </c>
      <c r="S69" s="56">
        <v>4977</v>
      </c>
      <c r="T69" s="56">
        <v>5929</v>
      </c>
      <c r="U69" s="56">
        <v>6663</v>
      </c>
      <c r="V69" s="56">
        <v>5249</v>
      </c>
      <c r="W69" s="56">
        <v>4785</v>
      </c>
      <c r="X69" s="56">
        <v>4460.5711873297732</v>
      </c>
      <c r="Y69" s="56">
        <v>3715.1033075618902</v>
      </c>
      <c r="Z69" s="57"/>
      <c r="AA69" s="46" t="s">
        <v>366</v>
      </c>
      <c r="AB69" s="48">
        <v>68110.490000000005</v>
      </c>
      <c r="AC69" s="48">
        <v>58260.26</v>
      </c>
      <c r="AD69" s="94">
        <f t="shared" si="14"/>
        <v>67220.06</v>
      </c>
      <c r="AE69" s="99">
        <f t="shared" si="2"/>
        <v>1718.7970033742811</v>
      </c>
      <c r="AF69" s="104">
        <f t="shared" si="3"/>
        <v>2.556970349884069E-2</v>
      </c>
      <c r="AG69" s="98">
        <f t="shared" si="9"/>
        <v>1862.0300869888047</v>
      </c>
      <c r="AH69" s="104">
        <f t="shared" si="4"/>
        <v>2.7700512123744084E-2</v>
      </c>
      <c r="AI69" s="99">
        <f t="shared" si="5"/>
        <v>2005.263170603328</v>
      </c>
      <c r="AJ69" s="104">
        <f t="shared" si="6"/>
        <v>2.9831320748647475E-2</v>
      </c>
    </row>
    <row r="70" spans="1:36" s="58" customFormat="1" ht="15" customHeight="1">
      <c r="A70" s="45" t="s">
        <v>367</v>
      </c>
      <c r="B70" s="46" t="s">
        <v>368</v>
      </c>
      <c r="C70" s="105">
        <v>135502.63</v>
      </c>
      <c r="D70" s="50" t="e">
        <f>(#REF!-E70)</f>
        <v>#REF!</v>
      </c>
      <c r="E70" s="51">
        <f>'[1]10-11 for 12-13 Asmt'!AW69</f>
        <v>129872.85999999999</v>
      </c>
      <c r="F70" s="54" t="s">
        <v>370</v>
      </c>
      <c r="G70" s="54"/>
      <c r="H70" s="57"/>
      <c r="I70" s="56"/>
      <c r="J70" s="57"/>
      <c r="K70" s="57">
        <f t="shared" si="15"/>
        <v>0</v>
      </c>
      <c r="L70" s="57">
        <v>18743.99924610083</v>
      </c>
      <c r="M70" s="57">
        <v>16531</v>
      </c>
      <c r="N70" s="57">
        <v>14035.314784045429</v>
      </c>
      <c r="O70" s="57">
        <v>14012</v>
      </c>
      <c r="P70" s="57">
        <v>14522</v>
      </c>
      <c r="Q70" s="57">
        <v>5362.8737655455188</v>
      </c>
      <c r="R70" s="56">
        <v>4156</v>
      </c>
      <c r="S70" s="56">
        <v>2000</v>
      </c>
      <c r="T70" s="56">
        <v>1000</v>
      </c>
      <c r="U70" s="56">
        <v>525</v>
      </c>
      <c r="V70" s="56">
        <v>0</v>
      </c>
      <c r="W70" s="56">
        <v>0</v>
      </c>
      <c r="X70" s="56">
        <v>0</v>
      </c>
      <c r="Y70" s="56">
        <v>0</v>
      </c>
      <c r="Z70" s="57"/>
      <c r="AA70" s="46" t="s">
        <v>368</v>
      </c>
      <c r="AB70" s="48">
        <v>197405.35</v>
      </c>
      <c r="AC70" s="48">
        <v>161241.88</v>
      </c>
      <c r="AD70" s="94">
        <f t="shared" si="14"/>
        <v>164716.62</v>
      </c>
      <c r="AE70" s="99">
        <f t="shared" si="2"/>
        <v>4211.7551347312119</v>
      </c>
      <c r="AF70" s="104">
        <f t="shared" si="3"/>
        <v>2.5569703498840687E-2</v>
      </c>
      <c r="AG70" s="98">
        <f t="shared" ref="AG70:AG87" si="16">(AD70/$AD$88)*$AG$5</f>
        <v>4562.7347292921468</v>
      </c>
      <c r="AH70" s="104">
        <f t="shared" si="4"/>
        <v>2.7700512123744081E-2</v>
      </c>
      <c r="AI70" s="99">
        <f t="shared" si="5"/>
        <v>4913.7143238530807</v>
      </c>
      <c r="AJ70" s="104">
        <f t="shared" si="6"/>
        <v>2.9831320748647472E-2</v>
      </c>
    </row>
    <row r="71" spans="1:36" ht="15" customHeight="1">
      <c r="A71" s="45" t="s">
        <v>371</v>
      </c>
      <c r="B71" s="46" t="s">
        <v>310</v>
      </c>
      <c r="C71" s="105">
        <v>130716.71</v>
      </c>
      <c r="D71" s="50" t="e">
        <f>(#REF!-E71)</f>
        <v>#REF!</v>
      </c>
      <c r="E71" s="51">
        <f>'[1]10-11 for 12-13 Asmt'!AW70</f>
        <v>86011.309999999983</v>
      </c>
      <c r="F71" s="60"/>
      <c r="G71" s="60"/>
      <c r="H71" s="64"/>
      <c r="I71" s="63"/>
      <c r="J71" s="64"/>
      <c r="K71" s="64">
        <f t="shared" si="15"/>
        <v>0</v>
      </c>
      <c r="L71" s="64">
        <v>11668.961867920007</v>
      </c>
      <c r="M71" s="64">
        <v>12403</v>
      </c>
      <c r="N71" s="64">
        <v>10309.77667696473</v>
      </c>
      <c r="O71" s="64">
        <v>9573</v>
      </c>
      <c r="P71" s="64">
        <v>9669</v>
      </c>
      <c r="Q71" s="64">
        <v>9462.7418152855607</v>
      </c>
      <c r="R71" s="63">
        <v>9056</v>
      </c>
      <c r="S71" s="63">
        <v>7601</v>
      </c>
      <c r="T71" s="63">
        <v>8921</v>
      </c>
      <c r="U71" s="63">
        <v>8599</v>
      </c>
      <c r="V71" s="63">
        <v>5805</v>
      </c>
      <c r="W71" s="63">
        <v>4742</v>
      </c>
      <c r="X71" s="63">
        <v>5287.1463292475601</v>
      </c>
      <c r="Y71" s="63">
        <v>5359.0363056415599</v>
      </c>
      <c r="Z71" s="64"/>
      <c r="AA71" s="65" t="s">
        <v>310</v>
      </c>
      <c r="AB71" s="60">
        <v>129328</v>
      </c>
      <c r="AC71" s="60">
        <v>130958.37</v>
      </c>
      <c r="AD71" s="94">
        <f t="shared" si="14"/>
        <v>130334.36</v>
      </c>
      <c r="AE71" s="99">
        <f t="shared" ref="AE71:AE87" si="17">(AD71/$AD$88)*$AE$5</f>
        <v>3332.6109409111623</v>
      </c>
      <c r="AF71" s="104">
        <f t="shared" ref="AF71:AF87" si="18">AE71/AD71</f>
        <v>2.556970349884069E-2</v>
      </c>
      <c r="AG71" s="98">
        <f t="shared" si="16"/>
        <v>3610.3285193204256</v>
      </c>
      <c r="AH71" s="104">
        <f t="shared" si="4"/>
        <v>2.7700512123744081E-2</v>
      </c>
      <c r="AI71" s="99">
        <f t="shared" ref="AI71:AI87" si="19">(AD71/$AD$88)*$AI$5</f>
        <v>3888.0460977296893</v>
      </c>
      <c r="AJ71" s="104">
        <f t="shared" ref="AJ71:AJ87" si="20">AI71/AD71</f>
        <v>2.9831320748647472E-2</v>
      </c>
    </row>
    <row r="72" spans="1:36" ht="15" customHeight="1">
      <c r="A72" s="45" t="s">
        <v>371</v>
      </c>
      <c r="B72" s="46" t="s">
        <v>372</v>
      </c>
      <c r="C72" s="105">
        <v>83411.5</v>
      </c>
      <c r="D72" s="50" t="e">
        <f>(#REF!-E72)</f>
        <v>#REF!</v>
      </c>
      <c r="E72" s="51">
        <f>'[1]10-11 for 12-13 Asmt'!AW71</f>
        <v>90359.289999999979</v>
      </c>
      <c r="F72" s="61"/>
      <c r="G72" s="61"/>
      <c r="H72" s="64"/>
      <c r="I72" s="63"/>
      <c r="J72" s="64"/>
      <c r="K72" s="64">
        <f t="shared" si="15"/>
        <v>0</v>
      </c>
      <c r="L72" s="64">
        <v>14609.55536235107</v>
      </c>
      <c r="M72" s="64">
        <v>14651</v>
      </c>
      <c r="N72" s="64">
        <v>12926.110860323866</v>
      </c>
      <c r="O72" s="64">
        <v>11836</v>
      </c>
      <c r="P72" s="64">
        <v>12065</v>
      </c>
      <c r="Q72" s="64">
        <v>11114.13370041232</v>
      </c>
      <c r="R72" s="63">
        <v>10862</v>
      </c>
      <c r="S72" s="63">
        <v>8946</v>
      </c>
      <c r="T72" s="63">
        <v>10364</v>
      </c>
      <c r="U72" s="63">
        <v>9458</v>
      </c>
      <c r="V72" s="63">
        <v>8782</v>
      </c>
      <c r="W72" s="63">
        <v>8245</v>
      </c>
      <c r="X72" s="63">
        <v>9647.0178258788274</v>
      </c>
      <c r="Y72" s="63">
        <v>9802.2150950553405</v>
      </c>
      <c r="Z72" s="64"/>
      <c r="AA72" s="65" t="s">
        <v>372</v>
      </c>
      <c r="AB72" s="60">
        <v>84701</v>
      </c>
      <c r="AC72" s="60">
        <v>79958</v>
      </c>
      <c r="AD72" s="94">
        <f t="shared" si="14"/>
        <v>82690.166666666672</v>
      </c>
      <c r="AE72" s="99">
        <f t="shared" si="17"/>
        <v>2114.3630439363865</v>
      </c>
      <c r="AF72" s="104">
        <f t="shared" si="18"/>
        <v>2.556970349884069E-2</v>
      </c>
      <c r="AG72" s="98">
        <f t="shared" si="16"/>
        <v>2290.5599642644188</v>
      </c>
      <c r="AH72" s="104">
        <f t="shared" ref="AH72:AH87" si="21">AG72/AD72</f>
        <v>2.7700512123744081E-2</v>
      </c>
      <c r="AI72" s="99">
        <f t="shared" si="19"/>
        <v>2466.7568845924511</v>
      </c>
      <c r="AJ72" s="104">
        <f t="shared" si="20"/>
        <v>2.9831320748647472E-2</v>
      </c>
    </row>
    <row r="73" spans="1:36" s="58" customFormat="1" ht="15" customHeight="1">
      <c r="A73" s="45" t="s">
        <v>374</v>
      </c>
      <c r="B73" s="46" t="s">
        <v>375</v>
      </c>
      <c r="C73" s="105">
        <v>153269.81</v>
      </c>
      <c r="D73" s="50" t="e">
        <f>(#REF!-E73)</f>
        <v>#REF!</v>
      </c>
      <c r="E73" s="51">
        <f>'[1]10-11 for 12-13 Asmt'!AW72</f>
        <v>121978.56999999992</v>
      </c>
      <c r="F73" s="54" t="s">
        <v>377</v>
      </c>
      <c r="G73" s="54"/>
      <c r="H73" s="57"/>
      <c r="I73" s="56"/>
      <c r="J73" s="57"/>
      <c r="K73" s="57">
        <f t="shared" si="15"/>
        <v>0</v>
      </c>
      <c r="L73" s="57">
        <v>18328.723532255197</v>
      </c>
      <c r="M73" s="57">
        <v>17971</v>
      </c>
      <c r="N73" s="57">
        <v>18460.748555565304</v>
      </c>
      <c r="O73" s="57">
        <v>16215</v>
      </c>
      <c r="P73" s="57">
        <v>14083</v>
      </c>
      <c r="Q73" s="57">
        <v>18673.435906920888</v>
      </c>
      <c r="R73" s="56">
        <v>10285</v>
      </c>
      <c r="S73" s="56">
        <v>13993</v>
      </c>
      <c r="T73" s="56">
        <v>11855</v>
      </c>
      <c r="U73" s="56">
        <v>13734</v>
      </c>
      <c r="V73" s="56">
        <v>9851</v>
      </c>
      <c r="W73" s="56">
        <v>10675</v>
      </c>
      <c r="X73" s="56">
        <v>9561.9895545194486</v>
      </c>
      <c r="Y73" s="56">
        <v>8264.73201942171</v>
      </c>
      <c r="Z73" s="57"/>
      <c r="AA73" s="46" t="s">
        <v>375</v>
      </c>
      <c r="AB73" s="48">
        <v>158251.91</v>
      </c>
      <c r="AC73" s="48">
        <v>153568.26999999999</v>
      </c>
      <c r="AD73" s="94">
        <f t="shared" si="14"/>
        <v>155029.99666666667</v>
      </c>
      <c r="AE73" s="99">
        <f t="shared" si="17"/>
        <v>3964.0710481929277</v>
      </c>
      <c r="AF73" s="104">
        <f t="shared" si="18"/>
        <v>2.5569703498840694E-2</v>
      </c>
      <c r="AG73" s="98">
        <f t="shared" si="16"/>
        <v>4294.4103022090048</v>
      </c>
      <c r="AH73" s="104">
        <f t="shared" si="21"/>
        <v>2.7700512123744081E-2</v>
      </c>
      <c r="AI73" s="99">
        <f t="shared" si="19"/>
        <v>4624.7495562250824</v>
      </c>
      <c r="AJ73" s="104">
        <f t="shared" si="20"/>
        <v>2.9831320748647475E-2</v>
      </c>
    </row>
    <row r="74" spans="1:36" ht="15" customHeight="1">
      <c r="A74" s="45" t="s">
        <v>374</v>
      </c>
      <c r="B74" s="46" t="s">
        <v>204</v>
      </c>
      <c r="C74" s="105">
        <v>188825</v>
      </c>
      <c r="D74" s="50" t="e">
        <f>(#REF!-E74)</f>
        <v>#REF!</v>
      </c>
      <c r="E74" s="51">
        <f>'[1]10-11 for 12-13 Asmt'!AW73</f>
        <v>125018.25000000001</v>
      </c>
      <c r="F74" s="60"/>
      <c r="G74" s="60"/>
      <c r="H74" s="64"/>
      <c r="I74" s="63"/>
      <c r="J74" s="64"/>
      <c r="K74" s="64">
        <f t="shared" si="15"/>
        <v>0</v>
      </c>
      <c r="L74" s="64">
        <v>17383.836356213636</v>
      </c>
      <c r="M74" s="64">
        <v>20928</v>
      </c>
      <c r="N74" s="64">
        <v>20584.569882139334</v>
      </c>
      <c r="O74" s="64">
        <v>18802</v>
      </c>
      <c r="P74" s="64">
        <v>15602</v>
      </c>
      <c r="Q74" s="64">
        <v>18595.80484369686</v>
      </c>
      <c r="R74" s="63">
        <v>14972</v>
      </c>
      <c r="S74" s="63">
        <v>15596</v>
      </c>
      <c r="T74" s="63">
        <v>15488</v>
      </c>
      <c r="U74" s="63">
        <v>13787</v>
      </c>
      <c r="V74" s="63">
        <v>14256</v>
      </c>
      <c r="W74" s="63">
        <v>12272</v>
      </c>
      <c r="X74" s="63">
        <v>13719.849274365215</v>
      </c>
      <c r="Y74" s="63">
        <v>10626.667006073014</v>
      </c>
      <c r="Z74" s="64"/>
      <c r="AA74" s="65" t="s">
        <v>204</v>
      </c>
      <c r="AB74" s="60">
        <v>177433.61</v>
      </c>
      <c r="AC74" s="60">
        <v>164118.92000000001</v>
      </c>
      <c r="AD74" s="94">
        <f t="shared" si="14"/>
        <v>176792.51</v>
      </c>
      <c r="AE74" s="99">
        <f t="shared" si="17"/>
        <v>4520.532061515828</v>
      </c>
      <c r="AF74" s="104">
        <f t="shared" si="18"/>
        <v>2.556970349884069E-2</v>
      </c>
      <c r="AG74" s="98">
        <f t="shared" si="16"/>
        <v>4897.2430666421469</v>
      </c>
      <c r="AH74" s="104">
        <f t="shared" si="21"/>
        <v>2.7700512123744081E-2</v>
      </c>
      <c r="AI74" s="99">
        <f t="shared" si="19"/>
        <v>5273.9540717684658</v>
      </c>
      <c r="AJ74" s="104">
        <f t="shared" si="20"/>
        <v>2.9831320748647472E-2</v>
      </c>
    </row>
    <row r="75" spans="1:36" s="58" customFormat="1" ht="15" customHeight="1">
      <c r="A75" s="45" t="s">
        <v>379</v>
      </c>
      <c r="B75" s="46" t="s">
        <v>380</v>
      </c>
      <c r="C75" s="105">
        <v>766304.43</v>
      </c>
      <c r="D75" s="50" t="e">
        <f>(#REF!-E75)</f>
        <v>#REF!</v>
      </c>
      <c r="E75" s="51">
        <f>'[1]10-11 for 12-13 Asmt'!AW74</f>
        <v>516895.47</v>
      </c>
      <c r="F75" s="54"/>
      <c r="G75" s="54" t="s">
        <v>382</v>
      </c>
      <c r="H75" s="57"/>
      <c r="I75" s="56"/>
      <c r="J75" s="57"/>
      <c r="K75" s="57">
        <f t="shared" si="15"/>
        <v>0</v>
      </c>
      <c r="L75" s="57">
        <v>91858.558507774855</v>
      </c>
      <c r="M75" s="57">
        <v>69668</v>
      </c>
      <c r="N75" s="57">
        <v>81417.509305159867</v>
      </c>
      <c r="O75" s="57">
        <v>78578</v>
      </c>
      <c r="P75" s="57">
        <v>54689</v>
      </c>
      <c r="Q75" s="57">
        <v>49878.503845836996</v>
      </c>
      <c r="R75" s="56">
        <v>59685</v>
      </c>
      <c r="S75" s="56">
        <v>51019</v>
      </c>
      <c r="T75" s="56">
        <v>46896</v>
      </c>
      <c r="U75" s="56">
        <v>41350</v>
      </c>
      <c r="V75" s="56">
        <v>35295</v>
      </c>
      <c r="W75" s="56">
        <v>37290</v>
      </c>
      <c r="X75" s="56">
        <v>37550.289846017396</v>
      </c>
      <c r="Y75" s="56">
        <v>29869.061222925695</v>
      </c>
      <c r="Z75" s="57"/>
      <c r="AA75" s="46" t="s">
        <v>383</v>
      </c>
      <c r="AB75" s="48">
        <v>757161.36</v>
      </c>
      <c r="AC75" s="48">
        <v>706901.98</v>
      </c>
      <c r="AD75" s="94">
        <f t="shared" si="14"/>
        <v>743455.92333333334</v>
      </c>
      <c r="AE75" s="99">
        <f t="shared" si="17"/>
        <v>19009.94752409017</v>
      </c>
      <c r="AF75" s="104">
        <f t="shared" si="18"/>
        <v>2.556970349884069E-2</v>
      </c>
      <c r="AG75" s="98">
        <f t="shared" si="16"/>
        <v>20594.109817764351</v>
      </c>
      <c r="AH75" s="104">
        <f t="shared" si="21"/>
        <v>2.7700512123744081E-2</v>
      </c>
      <c r="AI75" s="99">
        <f t="shared" si="19"/>
        <v>22178.272111438531</v>
      </c>
      <c r="AJ75" s="104">
        <f t="shared" si="20"/>
        <v>2.9831320748647472E-2</v>
      </c>
    </row>
    <row r="76" spans="1:36" ht="15" customHeight="1">
      <c r="A76" s="45" t="s">
        <v>384</v>
      </c>
      <c r="B76" s="46" t="s">
        <v>385</v>
      </c>
      <c r="C76" s="105">
        <v>177694.37</v>
      </c>
      <c r="D76" s="50" t="e">
        <f>(#REF!-E76)</f>
        <v>#REF!</v>
      </c>
      <c r="E76" s="51">
        <f>'[1]10-11 for 12-13 Asmt'!AW75</f>
        <v>147618.68</v>
      </c>
      <c r="F76" s="61"/>
      <c r="G76" s="61" t="s">
        <v>386</v>
      </c>
      <c r="H76" s="64"/>
      <c r="I76" s="63"/>
      <c r="J76" s="64"/>
      <c r="K76" s="64">
        <f t="shared" si="15"/>
        <v>0</v>
      </c>
      <c r="L76" s="64">
        <v>26366.753821129965</v>
      </c>
      <c r="M76" s="64">
        <v>21907</v>
      </c>
      <c r="N76" s="64">
        <v>21181.854466458579</v>
      </c>
      <c r="O76" s="64">
        <v>18355</v>
      </c>
      <c r="P76" s="64">
        <v>14861</v>
      </c>
      <c r="Q76" s="64">
        <v>14091</v>
      </c>
      <c r="R76" s="63">
        <v>14856</v>
      </c>
      <c r="S76" s="63">
        <v>11933</v>
      </c>
      <c r="T76" s="63">
        <v>14366</v>
      </c>
      <c r="U76" s="63">
        <v>26206</v>
      </c>
      <c r="V76" s="63">
        <v>11058</v>
      </c>
      <c r="W76" s="63">
        <v>10823</v>
      </c>
      <c r="X76" s="63">
        <v>9869.3407163824959</v>
      </c>
      <c r="Y76" s="63">
        <v>8985.4799413491273</v>
      </c>
      <c r="Z76" s="64"/>
      <c r="AA76" s="65" t="s">
        <v>385</v>
      </c>
      <c r="AB76" s="60">
        <v>179290.03</v>
      </c>
      <c r="AC76" s="60">
        <v>180644.35</v>
      </c>
      <c r="AD76" s="94">
        <f t="shared" si="14"/>
        <v>179209.58333333334</v>
      </c>
      <c r="AE76" s="99">
        <f t="shared" si="17"/>
        <v>4582.3359099841155</v>
      </c>
      <c r="AF76" s="104">
        <f t="shared" si="18"/>
        <v>2.5569703498840687E-2</v>
      </c>
      <c r="AG76" s="98">
        <f t="shared" si="16"/>
        <v>4964.1972358161256</v>
      </c>
      <c r="AH76" s="104">
        <f t="shared" si="21"/>
        <v>2.7700512123744081E-2</v>
      </c>
      <c r="AI76" s="99">
        <f t="shared" si="19"/>
        <v>5346.0585616481349</v>
      </c>
      <c r="AJ76" s="104">
        <f t="shared" si="20"/>
        <v>2.9831320748647472E-2</v>
      </c>
    </row>
    <row r="77" spans="1:36" ht="15" customHeight="1">
      <c r="A77" s="45" t="s">
        <v>384</v>
      </c>
      <c r="B77" s="46" t="s">
        <v>136</v>
      </c>
      <c r="C77" s="105">
        <v>674574.32</v>
      </c>
      <c r="D77" s="50" t="e">
        <f>(#REF!-E77)</f>
        <v>#REF!</v>
      </c>
      <c r="E77" s="51">
        <f>'[1]10-11 for 12-13 Asmt'!AW76</f>
        <v>412360.49000000046</v>
      </c>
      <c r="F77" s="60"/>
      <c r="G77" s="61"/>
      <c r="H77" s="64"/>
      <c r="I77" s="63"/>
      <c r="J77" s="64"/>
      <c r="K77" s="64">
        <f t="shared" si="15"/>
        <v>0</v>
      </c>
      <c r="L77" s="64">
        <v>62246.389197434197</v>
      </c>
      <c r="M77" s="64">
        <v>59894</v>
      </c>
      <c r="N77" s="64">
        <v>52416.473485218696</v>
      </c>
      <c r="O77" s="64">
        <v>53055</v>
      </c>
      <c r="P77" s="64">
        <v>33998</v>
      </c>
      <c r="Q77" s="64">
        <v>37572</v>
      </c>
      <c r="R77" s="63">
        <v>41859</v>
      </c>
      <c r="S77" s="63">
        <v>35123</v>
      </c>
      <c r="T77" s="63">
        <v>32529</v>
      </c>
      <c r="U77" s="63">
        <v>11748</v>
      </c>
      <c r="V77" s="63">
        <v>22279</v>
      </c>
      <c r="W77" s="63">
        <v>20518</v>
      </c>
      <c r="X77" s="63">
        <v>20723.398460937566</v>
      </c>
      <c r="Y77" s="63">
        <v>19617</v>
      </c>
      <c r="Z77" s="64"/>
      <c r="AA77" s="65" t="s">
        <v>388</v>
      </c>
      <c r="AB77" s="60">
        <v>608428.92000000004</v>
      </c>
      <c r="AC77" s="60">
        <v>606962.80000000005</v>
      </c>
      <c r="AD77" s="94">
        <f t="shared" si="14"/>
        <v>629988.68000000005</v>
      </c>
      <c r="AE77" s="99">
        <f t="shared" si="17"/>
        <v>16108.62375522603</v>
      </c>
      <c r="AF77" s="104">
        <f t="shared" si="18"/>
        <v>2.556970349884069E-2</v>
      </c>
      <c r="AG77" s="98">
        <f t="shared" si="16"/>
        <v>17451.009068161533</v>
      </c>
      <c r="AH77" s="104">
        <f t="shared" si="21"/>
        <v>2.7700512123744084E-2</v>
      </c>
      <c r="AI77" s="99">
        <f t="shared" si="19"/>
        <v>18793.394381097034</v>
      </c>
      <c r="AJ77" s="104">
        <f t="shared" si="20"/>
        <v>2.9831320748647472E-2</v>
      </c>
    </row>
    <row r="78" spans="1:36" ht="15" customHeight="1">
      <c r="A78" s="45" t="s">
        <v>389</v>
      </c>
      <c r="B78" s="46" t="s">
        <v>390</v>
      </c>
      <c r="C78" s="105">
        <v>491382.48</v>
      </c>
      <c r="D78" s="50" t="e">
        <f>(#REF!-E78)</f>
        <v>#REF!</v>
      </c>
      <c r="E78" s="51">
        <f>'[1]10-11 for 12-13 Asmt'!AW77</f>
        <v>255763.01999999996</v>
      </c>
      <c r="F78" s="61"/>
      <c r="G78" s="60"/>
      <c r="H78" s="64"/>
      <c r="I78" s="63"/>
      <c r="J78" s="64"/>
      <c r="K78" s="64">
        <f t="shared" si="15"/>
        <v>0</v>
      </c>
      <c r="L78" s="64">
        <v>39764.477883602711</v>
      </c>
      <c r="M78" s="64">
        <v>34247</v>
      </c>
      <c r="N78" s="64">
        <v>30550.854439719977</v>
      </c>
      <c r="O78" s="64">
        <v>29531</v>
      </c>
      <c r="P78" s="64">
        <v>24932</v>
      </c>
      <c r="Q78" s="64">
        <v>28941.161086072279</v>
      </c>
      <c r="R78" s="63">
        <v>24831</v>
      </c>
      <c r="S78" s="63">
        <v>20192</v>
      </c>
      <c r="T78" s="63">
        <v>18966</v>
      </c>
      <c r="U78" s="63">
        <v>17401</v>
      </c>
      <c r="V78" s="63">
        <v>18518</v>
      </c>
      <c r="W78" s="63">
        <v>14766</v>
      </c>
      <c r="X78" s="63">
        <v>17313.199727858162</v>
      </c>
      <c r="Y78" s="63">
        <v>18602.904877707086</v>
      </c>
      <c r="Z78" s="64"/>
      <c r="AA78" s="65" t="s">
        <v>390</v>
      </c>
      <c r="AB78" s="60">
        <v>471431.31</v>
      </c>
      <c r="AC78" s="60">
        <v>453276.47</v>
      </c>
      <c r="AD78" s="94">
        <f t="shared" si="14"/>
        <v>472030.08666666667</v>
      </c>
      <c r="AE78" s="99">
        <f t="shared" si="17"/>
        <v>12069.669358598741</v>
      </c>
      <c r="AF78" s="104">
        <f t="shared" si="18"/>
        <v>2.556970349884069E-2</v>
      </c>
      <c r="AG78" s="98">
        <f t="shared" si="16"/>
        <v>13075.475138481968</v>
      </c>
      <c r="AH78" s="104">
        <f t="shared" si="21"/>
        <v>2.7700512123744078E-2</v>
      </c>
      <c r="AI78" s="99">
        <f t="shared" si="19"/>
        <v>14081.280918365197</v>
      </c>
      <c r="AJ78" s="104">
        <f t="shared" si="20"/>
        <v>2.9831320748647472E-2</v>
      </c>
    </row>
    <row r="79" spans="1:36" ht="15" customHeight="1">
      <c r="A79" s="45" t="s">
        <v>392</v>
      </c>
      <c r="B79" s="46" t="s">
        <v>393</v>
      </c>
      <c r="C79" s="105">
        <v>145419.34</v>
      </c>
      <c r="D79" s="50" t="e">
        <f>(#REF!-E79)</f>
        <v>#REF!</v>
      </c>
      <c r="E79" s="51">
        <f>'[1]10-11 for 12-13 Asmt'!AW78</f>
        <v>93519.179999999978</v>
      </c>
      <c r="F79" s="60"/>
      <c r="G79" s="61"/>
      <c r="H79" s="64"/>
      <c r="I79" s="63"/>
      <c r="J79" s="64"/>
      <c r="K79" s="64">
        <f t="shared" si="15"/>
        <v>0</v>
      </c>
      <c r="L79" s="64">
        <v>18081.935378794107</v>
      </c>
      <c r="M79" s="64">
        <v>17998</v>
      </c>
      <c r="N79" s="64">
        <v>16399.281087145398</v>
      </c>
      <c r="O79" s="64">
        <v>14423</v>
      </c>
      <c r="P79" s="64">
        <v>13298</v>
      </c>
      <c r="Q79" s="64">
        <v>12307.15163551176</v>
      </c>
      <c r="R79" s="63">
        <v>12564</v>
      </c>
      <c r="S79" s="63">
        <v>11929</v>
      </c>
      <c r="T79" s="63">
        <v>10700</v>
      </c>
      <c r="U79" s="63">
        <v>12834</v>
      </c>
      <c r="V79" s="63">
        <v>9930</v>
      </c>
      <c r="W79" s="63">
        <v>8286</v>
      </c>
      <c r="X79" s="63">
        <v>8316.4621842992547</v>
      </c>
      <c r="Y79" s="63">
        <v>9010.7625585764181</v>
      </c>
      <c r="Z79" s="64"/>
      <c r="AA79" s="65" t="s">
        <v>395</v>
      </c>
      <c r="AB79" s="60">
        <v>151522.67000000001</v>
      </c>
      <c r="AC79" s="60">
        <v>158441.96</v>
      </c>
      <c r="AD79" s="94">
        <f t="shared" si="14"/>
        <v>151794.65666666665</v>
      </c>
      <c r="AE79" s="99">
        <f t="shared" si="17"/>
        <v>3881.344363674988</v>
      </c>
      <c r="AF79" s="104">
        <f t="shared" si="18"/>
        <v>2.5569703498840694E-2</v>
      </c>
      <c r="AG79" s="98">
        <f t="shared" si="16"/>
        <v>4204.78972731457</v>
      </c>
      <c r="AH79" s="104">
        <f t="shared" si="21"/>
        <v>2.7700512123744081E-2</v>
      </c>
      <c r="AI79" s="99">
        <f t="shared" si="19"/>
        <v>4528.2350909541528</v>
      </c>
      <c r="AJ79" s="104">
        <f t="shared" si="20"/>
        <v>2.9831320748647475E-2</v>
      </c>
    </row>
    <row r="80" spans="1:36" ht="15" customHeight="1">
      <c r="A80" s="45" t="s">
        <v>396</v>
      </c>
      <c r="B80" s="46" t="s">
        <v>397</v>
      </c>
      <c r="C80" s="105">
        <v>117402.1</v>
      </c>
      <c r="D80" s="50" t="e">
        <f>(#REF!-E80)</f>
        <v>#REF!</v>
      </c>
      <c r="E80" s="51">
        <f>'[1]10-11 for 12-13 Asmt'!AW79</f>
        <v>113348.72999999997</v>
      </c>
      <c r="F80" s="60"/>
      <c r="G80" s="61" t="s">
        <v>399</v>
      </c>
      <c r="H80" s="64"/>
      <c r="I80" s="63"/>
      <c r="J80" s="64"/>
      <c r="K80" s="64">
        <f t="shared" si="15"/>
        <v>0</v>
      </c>
      <c r="L80" s="64">
        <v>15243.348132952651</v>
      </c>
      <c r="M80" s="64">
        <v>15216</v>
      </c>
      <c r="N80" s="64">
        <v>13566.331344814391</v>
      </c>
      <c r="O80" s="64">
        <v>12389</v>
      </c>
      <c r="P80" s="64">
        <v>11080</v>
      </c>
      <c r="Q80" s="64">
        <v>10293.536943864126</v>
      </c>
      <c r="R80" s="63">
        <v>10375</v>
      </c>
      <c r="S80" s="63">
        <v>10074</v>
      </c>
      <c r="T80" s="63">
        <v>8987</v>
      </c>
      <c r="U80" s="63">
        <v>7217</v>
      </c>
      <c r="V80" s="63">
        <v>6068</v>
      </c>
      <c r="W80" s="63">
        <v>5334</v>
      </c>
      <c r="X80" s="63">
        <v>3518.8976848263292</v>
      </c>
      <c r="Y80" s="63">
        <v>3751.9832462751824</v>
      </c>
      <c r="Z80" s="64"/>
      <c r="AA80" s="65" t="s">
        <v>397</v>
      </c>
      <c r="AB80" s="60">
        <v>122363.48</v>
      </c>
      <c r="AC80" s="60">
        <v>117335.8</v>
      </c>
      <c r="AD80" s="94">
        <f t="shared" si="14"/>
        <v>119033.79333333333</v>
      </c>
      <c r="AE80" s="99">
        <f t="shared" si="17"/>
        <v>3043.6588018756133</v>
      </c>
      <c r="AF80" s="104">
        <f t="shared" si="18"/>
        <v>2.5569703498840694E-2</v>
      </c>
      <c r="AG80" s="98">
        <f t="shared" si="16"/>
        <v>3297.2970353652477</v>
      </c>
      <c r="AH80" s="104">
        <f t="shared" si="21"/>
        <v>2.7700512123744084E-2</v>
      </c>
      <c r="AI80" s="99">
        <f t="shared" si="19"/>
        <v>3550.935268854882</v>
      </c>
      <c r="AJ80" s="104">
        <f t="shared" si="20"/>
        <v>2.9831320748647472E-2</v>
      </c>
    </row>
    <row r="81" spans="1:36" s="58" customFormat="1" ht="15" customHeight="1">
      <c r="A81" s="45" t="s">
        <v>400</v>
      </c>
      <c r="B81" s="46" t="s">
        <v>401</v>
      </c>
      <c r="C81" s="105">
        <v>175744.4</v>
      </c>
      <c r="D81" s="50" t="e">
        <f>(#REF!-E81)</f>
        <v>#REF!</v>
      </c>
      <c r="E81" s="51">
        <f>'[1]10-11 for 12-13 Asmt'!AW80</f>
        <v>146219.96</v>
      </c>
      <c r="F81" s="54" t="s">
        <v>403</v>
      </c>
      <c r="G81" s="66" t="s">
        <v>404</v>
      </c>
      <c r="H81" s="57"/>
      <c r="I81" s="56"/>
      <c r="J81" s="57"/>
      <c r="K81" s="57">
        <f t="shared" si="15"/>
        <v>0</v>
      </c>
      <c r="L81" s="57">
        <v>22861.414002998124</v>
      </c>
      <c r="M81" s="57">
        <v>25714</v>
      </c>
      <c r="N81" s="57">
        <v>24424.635416877092</v>
      </c>
      <c r="O81" s="57">
        <v>20450</v>
      </c>
      <c r="P81" s="57">
        <v>19603</v>
      </c>
      <c r="Q81" s="57">
        <v>18095.407758905079</v>
      </c>
      <c r="R81" s="56">
        <v>16598</v>
      </c>
      <c r="S81" s="56">
        <v>13840</v>
      </c>
      <c r="T81" s="56">
        <v>11497</v>
      </c>
      <c r="U81" s="56">
        <v>11452</v>
      </c>
      <c r="V81" s="56">
        <v>3694</v>
      </c>
      <c r="W81" s="56">
        <v>10501</v>
      </c>
      <c r="X81" s="56">
        <v>6160.1282526327022</v>
      </c>
      <c r="Y81" s="56">
        <v>6469.0881050511043</v>
      </c>
      <c r="Z81" s="57"/>
      <c r="AA81" s="46" t="s">
        <v>405</v>
      </c>
      <c r="AB81" s="48">
        <v>155234.91</v>
      </c>
      <c r="AC81" s="48">
        <v>139702.37</v>
      </c>
      <c r="AD81" s="94">
        <f t="shared" si="14"/>
        <v>156893.89333333334</v>
      </c>
      <c r="AE81" s="99">
        <f t="shared" si="17"/>
        <v>4011.7303333120717</v>
      </c>
      <c r="AF81" s="104">
        <f t="shared" si="18"/>
        <v>2.556970349884069E-2</v>
      </c>
      <c r="AG81" s="98">
        <f t="shared" si="16"/>
        <v>4346.0411944214111</v>
      </c>
      <c r="AH81" s="104">
        <f t="shared" si="21"/>
        <v>2.7700512123744081E-2</v>
      </c>
      <c r="AI81" s="99">
        <f t="shared" si="19"/>
        <v>4680.3520555307505</v>
      </c>
      <c r="AJ81" s="104">
        <f t="shared" si="20"/>
        <v>2.9831320748647475E-2</v>
      </c>
    </row>
    <row r="82" spans="1:36" s="58" customFormat="1" ht="15" customHeight="1">
      <c r="A82" s="45" t="s">
        <v>406</v>
      </c>
      <c r="B82" s="46" t="s">
        <v>136</v>
      </c>
      <c r="C82" s="105">
        <v>949802.55</v>
      </c>
      <c r="D82" s="50" t="e">
        <f>(#REF!-E82)</f>
        <v>#REF!</v>
      </c>
      <c r="E82" s="51">
        <f>'[1]10-11 for 12-13 Asmt'!AW81</f>
        <v>637119.26</v>
      </c>
      <c r="F82" s="54" t="s">
        <v>408</v>
      </c>
      <c r="G82" s="54" t="s">
        <v>409</v>
      </c>
      <c r="H82" s="57"/>
      <c r="I82" s="56"/>
      <c r="J82" s="57"/>
      <c r="K82" s="57">
        <f t="shared" si="15"/>
        <v>0</v>
      </c>
      <c r="L82" s="57">
        <v>67455.835331199705</v>
      </c>
      <c r="M82" s="57">
        <v>70341</v>
      </c>
      <c r="N82" s="57">
        <v>80799.903487648931</v>
      </c>
      <c r="O82" s="57">
        <v>67578</v>
      </c>
      <c r="P82" s="57">
        <v>58248</v>
      </c>
      <c r="Q82" s="57">
        <v>57327.896372134775</v>
      </c>
      <c r="R82" s="56">
        <v>64056</v>
      </c>
      <c r="S82" s="56">
        <v>60211</v>
      </c>
      <c r="T82" s="56">
        <v>61292</v>
      </c>
      <c r="U82" s="56">
        <v>61038</v>
      </c>
      <c r="V82" s="56">
        <v>53439</v>
      </c>
      <c r="W82" s="56">
        <v>66917</v>
      </c>
      <c r="X82" s="56">
        <v>52597.219602588943</v>
      </c>
      <c r="Y82" s="56">
        <v>56690.07810471495</v>
      </c>
      <c r="Z82" s="57"/>
      <c r="AA82" s="46" t="s">
        <v>138</v>
      </c>
      <c r="AB82" s="48">
        <v>908331</v>
      </c>
      <c r="AC82" s="48">
        <v>890611.61</v>
      </c>
      <c r="AD82" s="94">
        <f t="shared" si="14"/>
        <v>916248.38666666672</v>
      </c>
      <c r="AE82" s="99">
        <f t="shared" si="17"/>
        <v>23428.199578357806</v>
      </c>
      <c r="AF82" s="104">
        <f t="shared" si="18"/>
        <v>2.556970349884069E-2</v>
      </c>
      <c r="AG82" s="98">
        <f t="shared" si="16"/>
        <v>25380.549543220957</v>
      </c>
      <c r="AH82" s="104">
        <f t="shared" si="21"/>
        <v>2.7700512123744081E-2</v>
      </c>
      <c r="AI82" s="99">
        <f t="shared" si="19"/>
        <v>27332.899508084109</v>
      </c>
      <c r="AJ82" s="104">
        <f t="shared" si="20"/>
        <v>2.9831320748647475E-2</v>
      </c>
    </row>
    <row r="83" spans="1:36" ht="15" customHeight="1">
      <c r="A83" s="45" t="s">
        <v>410</v>
      </c>
      <c r="B83" s="46" t="s">
        <v>411</v>
      </c>
      <c r="C83" s="105">
        <v>44197.47</v>
      </c>
      <c r="D83" s="50" t="e">
        <f>(#REF!-E83)</f>
        <v>#REF!</v>
      </c>
      <c r="E83" s="51">
        <f>'[1]10-11 for 12-13 Asmt'!AW82</f>
        <v>70341.7</v>
      </c>
      <c r="F83" s="61"/>
      <c r="G83" s="61" t="s">
        <v>412</v>
      </c>
      <c r="H83" s="64"/>
      <c r="I83" s="63"/>
      <c r="J83" s="64"/>
      <c r="K83" s="64">
        <v>2592</v>
      </c>
      <c r="L83" s="64">
        <v>1992.0370000000007</v>
      </c>
      <c r="M83" s="64">
        <v>1800</v>
      </c>
      <c r="N83" s="64">
        <v>1250</v>
      </c>
      <c r="O83" s="64">
        <v>1000</v>
      </c>
      <c r="P83" s="64">
        <v>750</v>
      </c>
      <c r="Q83" s="64">
        <v>500</v>
      </c>
      <c r="R83" s="63">
        <v>500</v>
      </c>
      <c r="S83" s="63">
        <v>500</v>
      </c>
      <c r="T83" s="63">
        <v>500</v>
      </c>
      <c r="U83" s="63">
        <v>1100</v>
      </c>
      <c r="V83" s="63">
        <v>1086</v>
      </c>
      <c r="W83" s="63">
        <v>1068</v>
      </c>
      <c r="X83" s="63">
        <v>2890.9403211554372</v>
      </c>
      <c r="Y83" s="63">
        <v>700</v>
      </c>
      <c r="Z83" s="64"/>
      <c r="AA83" s="65" t="s">
        <v>411</v>
      </c>
      <c r="AB83" s="60">
        <v>41696.79</v>
      </c>
      <c r="AC83" s="60">
        <v>34354.379999999997</v>
      </c>
      <c r="AD83" s="94">
        <f t="shared" si="14"/>
        <v>40082.880000000005</v>
      </c>
      <c r="AE83" s="99">
        <f t="shared" si="17"/>
        <v>1024.9073569796117</v>
      </c>
      <c r="AF83" s="104">
        <f t="shared" si="18"/>
        <v>2.556970349884069E-2</v>
      </c>
      <c r="AG83" s="98">
        <f t="shared" si="16"/>
        <v>1110.3163033945793</v>
      </c>
      <c r="AH83" s="104">
        <f t="shared" si="21"/>
        <v>2.7700512123744081E-2</v>
      </c>
      <c r="AI83" s="99">
        <f t="shared" si="19"/>
        <v>1195.725249809547</v>
      </c>
      <c r="AJ83" s="104">
        <f t="shared" si="20"/>
        <v>2.9831320748647475E-2</v>
      </c>
    </row>
    <row r="84" spans="1:36" s="58" customFormat="1" ht="15" customHeight="1">
      <c r="A84" s="45" t="s">
        <v>413</v>
      </c>
      <c r="B84" s="46" t="s">
        <v>166</v>
      </c>
      <c r="C84" s="105">
        <v>54942.74</v>
      </c>
      <c r="D84" s="50" t="e">
        <f>(#REF!-E84)</f>
        <v>#REF!</v>
      </c>
      <c r="E84" s="51">
        <f>'[1]10-11 for 12-13 Asmt'!AW83</f>
        <v>64842.590000000004</v>
      </c>
      <c r="F84" s="48" t="s">
        <v>414</v>
      </c>
      <c r="G84" s="54" t="s">
        <v>415</v>
      </c>
      <c r="H84" s="57"/>
      <c r="I84" s="56"/>
      <c r="J84" s="57"/>
      <c r="K84" s="57">
        <v>6860</v>
      </c>
      <c r="L84" s="57">
        <v>3250</v>
      </c>
      <c r="M84" s="57">
        <v>2500</v>
      </c>
      <c r="N84" s="57">
        <v>2500</v>
      </c>
      <c r="O84" s="57">
        <v>2000</v>
      </c>
      <c r="P84" s="57">
        <v>1750</v>
      </c>
      <c r="Q84" s="57">
        <v>2000</v>
      </c>
      <c r="R84" s="56">
        <v>1000</v>
      </c>
      <c r="S84" s="56">
        <v>1000</v>
      </c>
      <c r="T84" s="56">
        <v>0</v>
      </c>
      <c r="U84" s="56">
        <v>10496</v>
      </c>
      <c r="V84" s="56">
        <v>8440</v>
      </c>
      <c r="W84" s="56">
        <v>8054</v>
      </c>
      <c r="X84" s="56">
        <v>6676.8141120411783</v>
      </c>
      <c r="Y84" s="56">
        <v>0</v>
      </c>
      <c r="Z84" s="57"/>
      <c r="AA84" s="46" t="s">
        <v>166</v>
      </c>
      <c r="AB84" s="48">
        <v>44246.07</v>
      </c>
      <c r="AC84" s="48">
        <v>47069.9</v>
      </c>
      <c r="AD84" s="94">
        <f t="shared" si="14"/>
        <v>48752.903333333328</v>
      </c>
      <c r="AE84" s="99">
        <f t="shared" si="17"/>
        <v>1246.5972829409752</v>
      </c>
      <c r="AF84" s="104">
        <f t="shared" si="18"/>
        <v>2.556970349884069E-2</v>
      </c>
      <c r="AG84" s="98">
        <f t="shared" si="16"/>
        <v>1350.4803898527232</v>
      </c>
      <c r="AH84" s="104">
        <f t="shared" si="21"/>
        <v>2.7700512123744084E-2</v>
      </c>
      <c r="AI84" s="99">
        <f t="shared" si="19"/>
        <v>1454.3634967644712</v>
      </c>
      <c r="AJ84" s="104">
        <f t="shared" si="20"/>
        <v>2.9831320748647475E-2</v>
      </c>
    </row>
    <row r="85" spans="1:36" ht="15" customHeight="1">
      <c r="A85" s="45" t="s">
        <v>416</v>
      </c>
      <c r="B85" s="46" t="s">
        <v>197</v>
      </c>
      <c r="C85" s="105">
        <v>1617353.61</v>
      </c>
      <c r="D85" s="50" t="e">
        <f>(#REF!-E85)</f>
        <v>#REF!</v>
      </c>
      <c r="E85" s="51">
        <f>'[1]10-11 for 12-13 Asmt'!AW84</f>
        <v>853588</v>
      </c>
      <c r="F85" s="61"/>
      <c r="G85" s="60" t="s">
        <v>418</v>
      </c>
      <c r="H85" s="64"/>
      <c r="I85" s="63"/>
      <c r="J85" s="64"/>
      <c r="K85" s="64">
        <f>SUM(I85:J85)</f>
        <v>0</v>
      </c>
      <c r="L85" s="64">
        <v>148550.42848765777</v>
      </c>
      <c r="M85" s="64">
        <v>132040</v>
      </c>
      <c r="N85" s="64">
        <v>128350.2694891244</v>
      </c>
      <c r="O85" s="64">
        <v>108169</v>
      </c>
      <c r="P85" s="64">
        <v>104386</v>
      </c>
      <c r="Q85" s="64">
        <v>88836.671327577424</v>
      </c>
      <c r="R85" s="63">
        <v>78831</v>
      </c>
      <c r="S85" s="63">
        <v>78584</v>
      </c>
      <c r="T85" s="63">
        <v>62598</v>
      </c>
      <c r="U85" s="63">
        <v>61735</v>
      </c>
      <c r="V85" s="63">
        <v>55649</v>
      </c>
      <c r="W85" s="63">
        <v>61236</v>
      </c>
      <c r="X85" s="63">
        <v>37239.030666996485</v>
      </c>
      <c r="Y85" s="63">
        <v>40618.938993964024</v>
      </c>
      <c r="Z85" s="64"/>
      <c r="AA85" s="65" t="s">
        <v>419</v>
      </c>
      <c r="AB85" s="60">
        <v>1617679.39</v>
      </c>
      <c r="AC85" s="60">
        <v>1469487.2</v>
      </c>
      <c r="AD85" s="94">
        <f t="shared" si="14"/>
        <v>1568173.4000000001</v>
      </c>
      <c r="AE85" s="99">
        <f t="shared" si="17"/>
        <v>40097.728872768908</v>
      </c>
      <c r="AF85" s="104">
        <f t="shared" si="18"/>
        <v>2.5569703498840694E-2</v>
      </c>
      <c r="AG85" s="98">
        <f t="shared" si="16"/>
        <v>43439.206278832986</v>
      </c>
      <c r="AH85" s="104">
        <f t="shared" si="21"/>
        <v>2.7700512123744084E-2</v>
      </c>
      <c r="AI85" s="99">
        <f t="shared" si="19"/>
        <v>46780.683684897063</v>
      </c>
      <c r="AJ85" s="104">
        <f t="shared" si="20"/>
        <v>2.9831320748647475E-2</v>
      </c>
    </row>
    <row r="86" spans="1:36" s="58" customFormat="1" ht="15" customHeight="1">
      <c r="A86" s="45" t="s">
        <v>420</v>
      </c>
      <c r="B86" s="46" t="s">
        <v>421</v>
      </c>
      <c r="C86" s="107">
        <v>484536.57</v>
      </c>
      <c r="D86" s="50" t="e">
        <f>(#REF!-E86)</f>
        <v>#REF!</v>
      </c>
      <c r="E86" s="51">
        <f>'[1]10-11 for 12-13 Asmt'!AW85</f>
        <v>265523.19</v>
      </c>
      <c r="F86" s="54" t="s">
        <v>422</v>
      </c>
      <c r="G86" s="48"/>
      <c r="H86" s="57"/>
      <c r="I86" s="56"/>
      <c r="J86" s="57"/>
      <c r="K86" s="57">
        <f>SUM(I86:J86)</f>
        <v>0</v>
      </c>
      <c r="L86" s="57">
        <v>36391.755862504535</v>
      </c>
      <c r="M86" s="57">
        <v>29153</v>
      </c>
      <c r="N86" s="57">
        <v>17264.115460451474</v>
      </c>
      <c r="O86" s="57">
        <v>27710</v>
      </c>
      <c r="P86" s="57">
        <v>14280</v>
      </c>
      <c r="Q86" s="57">
        <v>7140</v>
      </c>
      <c r="R86" s="56">
        <v>3570</v>
      </c>
      <c r="S86" s="56">
        <v>500</v>
      </c>
      <c r="T86" s="56">
        <v>9870</v>
      </c>
      <c r="U86" s="56">
        <v>8856</v>
      </c>
      <c r="V86" s="56">
        <v>9433</v>
      </c>
      <c r="W86" s="56">
        <v>12924</v>
      </c>
      <c r="X86" s="56">
        <v>7917.5948031457801</v>
      </c>
      <c r="Y86" s="56">
        <v>13028.888359381739</v>
      </c>
      <c r="Z86" s="57"/>
      <c r="AA86" s="46" t="s">
        <v>423</v>
      </c>
      <c r="AB86" s="48">
        <v>483651.95</v>
      </c>
      <c r="AC86" s="48">
        <v>480468.44</v>
      </c>
      <c r="AD86" s="94">
        <f t="shared" si="14"/>
        <v>482885.65333333332</v>
      </c>
      <c r="AE86" s="99">
        <f t="shared" si="17"/>
        <v>12347.242979577306</v>
      </c>
      <c r="AF86" s="104">
        <f t="shared" si="18"/>
        <v>2.556970349884069E-2</v>
      </c>
      <c r="AG86" s="98">
        <f t="shared" si="16"/>
        <v>13376.179894542081</v>
      </c>
      <c r="AH86" s="104">
        <f t="shared" si="21"/>
        <v>2.7700512123744081E-2</v>
      </c>
      <c r="AI86" s="99">
        <f t="shared" si="19"/>
        <v>14405.116809506857</v>
      </c>
      <c r="AJ86" s="104">
        <f t="shared" si="20"/>
        <v>2.9831320748647472E-2</v>
      </c>
    </row>
    <row r="87" spans="1:36" s="58" customFormat="1" ht="15" customHeight="1" thickBot="1">
      <c r="A87" s="76" t="s">
        <v>420</v>
      </c>
      <c r="B87" s="77" t="s">
        <v>424</v>
      </c>
      <c r="C87" s="105">
        <v>63961.55</v>
      </c>
      <c r="D87" s="50" t="e">
        <f>(#REF!-E87)</f>
        <v>#REF!</v>
      </c>
      <c r="E87" s="51">
        <f>'[1]10-11 for 12-13 Asmt'!AW86</f>
        <v>70202.739999999991</v>
      </c>
      <c r="G87" s="54" t="s">
        <v>426</v>
      </c>
      <c r="H87" s="78"/>
      <c r="I87" s="56"/>
      <c r="J87" s="57"/>
      <c r="K87" s="57">
        <f>SUM(I87:J87)</f>
        <v>0</v>
      </c>
      <c r="L87" s="57">
        <v>11287.891076088283</v>
      </c>
      <c r="M87" s="78">
        <v>12515</v>
      </c>
      <c r="N87" s="57">
        <v>9750.2673569594426</v>
      </c>
      <c r="O87" s="57">
        <v>11622</v>
      </c>
      <c r="P87" s="57">
        <v>10454</v>
      </c>
      <c r="Q87" s="57">
        <v>10295.320952275961</v>
      </c>
      <c r="R87" s="56">
        <v>10877</v>
      </c>
      <c r="S87" s="56">
        <v>7120</v>
      </c>
      <c r="T87" s="56">
        <v>7710</v>
      </c>
      <c r="U87" s="56">
        <v>7981</v>
      </c>
      <c r="V87" s="56">
        <v>7297</v>
      </c>
      <c r="W87" s="56">
        <v>5513</v>
      </c>
      <c r="X87" s="56">
        <v>5451.6605707295439</v>
      </c>
      <c r="Y87" s="56">
        <v>6410.1595638799517</v>
      </c>
      <c r="Z87" s="57"/>
      <c r="AA87" s="46" t="s">
        <v>427</v>
      </c>
      <c r="AB87" s="92">
        <v>83194.149999999994</v>
      </c>
      <c r="AC87" s="48">
        <v>78245.36</v>
      </c>
      <c r="AD87" s="94">
        <f t="shared" si="14"/>
        <v>75133.686666666661</v>
      </c>
      <c r="AE87" s="99">
        <f t="shared" si="17"/>
        <v>1921.1460908414667</v>
      </c>
      <c r="AF87" s="104">
        <f t="shared" si="18"/>
        <v>2.556970349884069E-2</v>
      </c>
      <c r="AG87" s="98">
        <f t="shared" si="16"/>
        <v>2081.2415984115887</v>
      </c>
      <c r="AH87" s="104">
        <f t="shared" si="21"/>
        <v>2.7700512123744078E-2</v>
      </c>
      <c r="AI87" s="99">
        <f t="shared" si="19"/>
        <v>2241.3371059817109</v>
      </c>
      <c r="AJ87" s="104">
        <f t="shared" si="20"/>
        <v>2.9831320748647468E-2</v>
      </c>
    </row>
    <row r="88" spans="1:36" ht="25.5" customHeight="1" thickTop="1" thickBot="1">
      <c r="B88" s="2" t="s">
        <v>428</v>
      </c>
      <c r="C88" s="93">
        <f>SUM(C6:C87)</f>
        <v>23860624.140000001</v>
      </c>
      <c r="D88" s="79" t="e">
        <f t="shared" ref="D88:E88" si="22">SUM(D6:D87)</f>
        <v>#REF!</v>
      </c>
      <c r="E88" s="79">
        <f t="shared" si="22"/>
        <v>15414457.84</v>
      </c>
      <c r="F88" s="79"/>
      <c r="G88" s="79"/>
      <c r="H88" s="82">
        <f>SUM(H6:H87)</f>
        <v>0</v>
      </c>
      <c r="I88" s="82">
        <f>SUM(I6:I87)</f>
        <v>0</v>
      </c>
      <c r="J88" s="82">
        <f>SUM(J6:J87)</f>
        <v>0</v>
      </c>
      <c r="K88" s="82"/>
      <c r="L88" s="79">
        <f>SUM(L6:L87)</f>
        <v>2138549.0829093284</v>
      </c>
      <c r="M88" s="82">
        <f>SUM(M6:M87)</f>
        <v>2138215</v>
      </c>
      <c r="N88" s="82">
        <f>SUM(N6:N87)</f>
        <v>2008481.5925206658</v>
      </c>
      <c r="O88" s="82">
        <f>SUM(O6:O87)</f>
        <v>1858831</v>
      </c>
      <c r="P88" s="82">
        <f>SUM(P6:P87)</f>
        <v>1680166</v>
      </c>
      <c r="Q88" s="82">
        <v>1630673.2811975535</v>
      </c>
      <c r="R88" s="82">
        <v>1567939</v>
      </c>
      <c r="S88" s="82">
        <v>1389633</v>
      </c>
      <c r="T88" s="82">
        <v>1335921</v>
      </c>
      <c r="U88" s="79">
        <v>1285998</v>
      </c>
      <c r="V88" s="82">
        <v>1129715</v>
      </c>
      <c r="W88" s="82">
        <v>1110789</v>
      </c>
      <c r="X88" s="82">
        <v>994416</v>
      </c>
      <c r="Y88" s="79">
        <v>936698.08088946331</v>
      </c>
      <c r="AA88" s="2" t="s">
        <v>428</v>
      </c>
      <c r="AB88" s="93">
        <f>SUM(AB6:AB87)</f>
        <v>23635456.909999996</v>
      </c>
      <c r="AC88" s="102">
        <f>SUM(AC6:AC87)</f>
        <v>22899729.369999997</v>
      </c>
      <c r="AD88" s="102">
        <f>SUM(AD6:AD87)</f>
        <v>23465270.140000001</v>
      </c>
      <c r="AE88" s="101">
        <f>SUM(AE6:AE87)</f>
        <v>600000.00000000023</v>
      </c>
      <c r="AF88" s="6"/>
      <c r="AG88" s="101">
        <f>SUM(AG6:AG87)</f>
        <v>649999.99999999988</v>
      </c>
      <c r="AH88" s="6"/>
      <c r="AI88" s="101">
        <f>SUM(AI6:AI87)</f>
        <v>699999.99999999977</v>
      </c>
      <c r="AJ88" s="6"/>
    </row>
    <row r="89" spans="1:36" ht="12" thickTop="1">
      <c r="B89" s="83"/>
      <c r="AA89" s="83"/>
    </row>
    <row r="91" spans="1:36">
      <c r="AC91" s="106"/>
    </row>
    <row r="92" spans="1:36">
      <c r="C92" s="106"/>
    </row>
  </sheetData>
  <mergeCells count="1">
    <mergeCell ref="A1:AD1"/>
  </mergeCells>
  <pageMargins left="0.45" right="0.2" top="0.75" bottom="0.75" header="0.3" footer="0.3"/>
  <pageSetup scale="7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Y88"/>
  <sheetViews>
    <sheetView zoomScaleNormal="100" workbookViewId="0">
      <pane xSplit="2" ySplit="5" topLeftCell="C69" activePane="bottomRight" state="frozen"/>
      <selection pane="topRight" activeCell="C1" sqref="C1"/>
      <selection pane="bottomLeft" activeCell="A6" sqref="A6"/>
      <selection pane="bottomRight" activeCell="AE6" sqref="AE6"/>
    </sheetView>
  </sheetViews>
  <sheetFormatPr defaultColWidth="9.7109375" defaultRowHeight="11.25"/>
  <cols>
    <col min="1" max="1" width="20.85546875" style="2" customWidth="1"/>
    <col min="2" max="2" width="17.85546875" style="2" customWidth="1"/>
    <col min="3" max="3" width="15.28515625" style="2" customWidth="1"/>
    <col min="4" max="4" width="12.28515625" style="7" hidden="1" customWidth="1"/>
    <col min="5" max="5" width="14.7109375" style="2" hidden="1" customWidth="1"/>
    <col min="6" max="6" width="45.85546875" style="2" hidden="1" customWidth="1"/>
    <col min="7" max="7" width="48.85546875" style="2" hidden="1" customWidth="1"/>
    <col min="8" max="8" width="17.5703125" style="2" hidden="1" customWidth="1"/>
    <col min="9" max="9" width="11.5703125" style="2" hidden="1" customWidth="1"/>
    <col min="10" max="11" width="17.5703125" style="2" hidden="1" customWidth="1"/>
    <col min="12" max="19" width="20.140625" style="2" hidden="1" customWidth="1"/>
    <col min="20" max="20" width="17.42578125" style="2" hidden="1" customWidth="1"/>
    <col min="21" max="21" width="18" style="2" hidden="1" customWidth="1"/>
    <col min="22" max="23" width="20.140625" style="2" hidden="1" customWidth="1"/>
    <col min="24" max="25" width="20.140625" style="8" hidden="1" customWidth="1"/>
    <col min="26" max="26" width="11.85546875" style="2" hidden="1" customWidth="1"/>
    <col min="27" max="27" width="25" style="2" hidden="1" customWidth="1"/>
    <col min="28" max="28" width="13.140625" style="2" customWidth="1"/>
    <col min="29" max="29" width="13" style="2" customWidth="1"/>
    <col min="30" max="30" width="14.140625" style="2" customWidth="1"/>
    <col min="31" max="31" width="11.28515625" style="2" customWidth="1"/>
    <col min="32" max="32" width="8.140625" style="2" customWidth="1"/>
    <col min="33" max="16384" width="9.7109375" style="2"/>
  </cols>
  <sheetData>
    <row r="1" spans="1:32" ht="32.25" customHeight="1">
      <c r="A1" s="131" t="s">
        <v>485</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row>
    <row r="2" spans="1:32" ht="23.25" customHeight="1">
      <c r="A2" s="1"/>
      <c r="C2" s="9" t="s">
        <v>434</v>
      </c>
      <c r="D2" s="9" t="s">
        <v>435</v>
      </c>
      <c r="E2" s="9" t="s">
        <v>436</v>
      </c>
      <c r="F2" s="9" t="s">
        <v>437</v>
      </c>
      <c r="G2" s="9" t="s">
        <v>438</v>
      </c>
      <c r="H2" s="9" t="s">
        <v>439</v>
      </c>
      <c r="I2" s="9" t="s">
        <v>440</v>
      </c>
      <c r="J2" s="9" t="s">
        <v>441</v>
      </c>
      <c r="K2" s="9" t="s">
        <v>442</v>
      </c>
      <c r="L2" s="9" t="s">
        <v>443</v>
      </c>
      <c r="M2" s="9" t="s">
        <v>444</v>
      </c>
      <c r="N2" s="9" t="s">
        <v>445</v>
      </c>
      <c r="O2" s="9" t="s">
        <v>446</v>
      </c>
      <c r="P2" s="9" t="s">
        <v>447</v>
      </c>
      <c r="Q2" s="9" t="s">
        <v>448</v>
      </c>
      <c r="R2" s="9" t="s">
        <v>449</v>
      </c>
      <c r="S2" s="9" t="s">
        <v>450</v>
      </c>
      <c r="T2" s="9" t="s">
        <v>451</v>
      </c>
      <c r="U2" s="9" t="s">
        <v>452</v>
      </c>
      <c r="V2" s="9" t="s">
        <v>453</v>
      </c>
      <c r="W2" s="9" t="s">
        <v>454</v>
      </c>
      <c r="X2" s="9" t="s">
        <v>455</v>
      </c>
      <c r="Y2" s="9" t="s">
        <v>456</v>
      </c>
      <c r="Z2" s="9" t="s">
        <v>457</v>
      </c>
      <c r="AA2" s="9" t="s">
        <v>458</v>
      </c>
      <c r="AB2" s="9" t="s">
        <v>459</v>
      </c>
      <c r="AC2" s="9" t="s">
        <v>460</v>
      </c>
      <c r="AD2" s="9" t="s">
        <v>37</v>
      </c>
    </row>
    <row r="3" spans="1:32" s="9" customFormat="1" ht="12.75" customHeight="1">
      <c r="A3" s="12"/>
      <c r="C3" s="9" t="s">
        <v>9</v>
      </c>
      <c r="D3" s="9" t="s">
        <v>11</v>
      </c>
      <c r="E3" s="9" t="s">
        <v>461</v>
      </c>
      <c r="F3" s="9" t="s">
        <v>462</v>
      </c>
      <c r="G3" s="9" t="s">
        <v>463</v>
      </c>
      <c r="H3" s="9" t="s">
        <v>12</v>
      </c>
      <c r="I3" s="9" t="s">
        <v>464</v>
      </c>
      <c r="J3" s="9" t="s">
        <v>465</v>
      </c>
      <c r="K3" s="9" t="s">
        <v>466</v>
      </c>
      <c r="L3" s="9" t="s">
        <v>467</v>
      </c>
      <c r="M3" s="9" t="s">
        <v>468</v>
      </c>
      <c r="N3" s="9" t="s">
        <v>469</v>
      </c>
      <c r="O3" s="9" t="s">
        <v>470</v>
      </c>
      <c r="P3" s="9" t="s">
        <v>471</v>
      </c>
      <c r="Q3" s="9" t="s">
        <v>472</v>
      </c>
      <c r="R3" s="9" t="s">
        <v>473</v>
      </c>
      <c r="S3" s="9" t="s">
        <v>474</v>
      </c>
      <c r="T3" s="9" t="s">
        <v>475</v>
      </c>
      <c r="U3" s="9" t="s">
        <v>476</v>
      </c>
      <c r="V3" s="9" t="s">
        <v>477</v>
      </c>
      <c r="W3" s="9" t="s">
        <v>478</v>
      </c>
      <c r="X3" s="9" t="s">
        <v>479</v>
      </c>
      <c r="Y3" s="9" t="s">
        <v>480</v>
      </c>
      <c r="Z3" s="9" t="s">
        <v>481</v>
      </c>
      <c r="AA3" s="9" t="s">
        <v>482</v>
      </c>
      <c r="AB3" s="9" t="s">
        <v>9</v>
      </c>
      <c r="AC3" s="9" t="s">
        <v>9</v>
      </c>
      <c r="AD3" s="9" t="s">
        <v>95</v>
      </c>
    </row>
    <row r="4" spans="1:32" s="9" customFormat="1">
      <c r="A4" s="9" t="s">
        <v>53</v>
      </c>
      <c r="B4" s="9" t="s">
        <v>54</v>
      </c>
      <c r="C4" s="9" t="s">
        <v>58</v>
      </c>
      <c r="D4" s="9" t="s">
        <v>58</v>
      </c>
      <c r="E4" s="9" t="s">
        <v>58</v>
      </c>
      <c r="F4" s="9" t="s">
        <v>58</v>
      </c>
      <c r="G4" s="9" t="s">
        <v>58</v>
      </c>
      <c r="H4" s="9" t="s">
        <v>58</v>
      </c>
      <c r="I4" s="9" t="s">
        <v>58</v>
      </c>
      <c r="J4" s="9" t="s">
        <v>58</v>
      </c>
      <c r="K4" s="9" t="s">
        <v>58</v>
      </c>
      <c r="L4" s="9" t="s">
        <v>58</v>
      </c>
      <c r="M4" s="9" t="s">
        <v>58</v>
      </c>
      <c r="N4" s="9" t="s">
        <v>58</v>
      </c>
      <c r="O4" s="9" t="s">
        <v>58</v>
      </c>
      <c r="P4" s="9" t="s">
        <v>58</v>
      </c>
      <c r="Q4" s="9" t="s">
        <v>58</v>
      </c>
      <c r="R4" s="9" t="s">
        <v>58</v>
      </c>
      <c r="S4" s="9" t="s">
        <v>58</v>
      </c>
      <c r="T4" s="9" t="s">
        <v>58</v>
      </c>
      <c r="U4" s="9" t="s">
        <v>58</v>
      </c>
      <c r="V4" s="9" t="s">
        <v>58</v>
      </c>
      <c r="W4" s="9" t="s">
        <v>58</v>
      </c>
      <c r="X4" s="9" t="s">
        <v>58</v>
      </c>
      <c r="Y4" s="9" t="s">
        <v>58</v>
      </c>
      <c r="Z4" s="9" t="s">
        <v>58</v>
      </c>
      <c r="AA4" s="9" t="s">
        <v>58</v>
      </c>
      <c r="AB4" s="9" t="s">
        <v>58</v>
      </c>
      <c r="AC4" s="9" t="s">
        <v>58</v>
      </c>
      <c r="AD4" s="9" t="s">
        <v>483</v>
      </c>
      <c r="AE4" s="9" t="s">
        <v>486</v>
      </c>
    </row>
    <row r="5" spans="1:32" s="9" customFormat="1" ht="12" thickBot="1">
      <c r="C5" s="35" t="s">
        <v>95</v>
      </c>
      <c r="D5" s="35" t="s">
        <v>95</v>
      </c>
      <c r="E5" s="35" t="s">
        <v>95</v>
      </c>
      <c r="F5" s="35" t="s">
        <v>95</v>
      </c>
      <c r="G5" s="35" t="s">
        <v>95</v>
      </c>
      <c r="H5" s="35" t="s">
        <v>95</v>
      </c>
      <c r="I5" s="35" t="s">
        <v>95</v>
      </c>
      <c r="J5" s="35" t="s">
        <v>95</v>
      </c>
      <c r="K5" s="35" t="s">
        <v>95</v>
      </c>
      <c r="L5" s="35" t="s">
        <v>95</v>
      </c>
      <c r="M5" s="35" t="s">
        <v>95</v>
      </c>
      <c r="N5" s="35" t="s">
        <v>95</v>
      </c>
      <c r="O5" s="35" t="s">
        <v>95</v>
      </c>
      <c r="P5" s="35" t="s">
        <v>95</v>
      </c>
      <c r="Q5" s="35" t="s">
        <v>95</v>
      </c>
      <c r="R5" s="35" t="s">
        <v>95</v>
      </c>
      <c r="S5" s="35" t="s">
        <v>95</v>
      </c>
      <c r="T5" s="35" t="s">
        <v>95</v>
      </c>
      <c r="U5" s="35" t="s">
        <v>95</v>
      </c>
      <c r="V5" s="35" t="s">
        <v>95</v>
      </c>
      <c r="W5" s="35" t="s">
        <v>95</v>
      </c>
      <c r="X5" s="35" t="s">
        <v>95</v>
      </c>
      <c r="Y5" s="35" t="s">
        <v>95</v>
      </c>
      <c r="Z5" s="35" t="s">
        <v>95</v>
      </c>
      <c r="AA5" s="35" t="s">
        <v>95</v>
      </c>
      <c r="AB5" s="91" t="s">
        <v>95</v>
      </c>
      <c r="AC5" s="91" t="s">
        <v>95</v>
      </c>
      <c r="AD5" s="91" t="s">
        <v>484</v>
      </c>
      <c r="AE5" s="100">
        <v>600000</v>
      </c>
    </row>
    <row r="6" spans="1:32" s="58" customFormat="1" ht="36.75" customHeight="1" thickTop="1">
      <c r="A6" s="45" t="s">
        <v>135</v>
      </c>
      <c r="B6" s="46" t="s">
        <v>136</v>
      </c>
      <c r="C6" s="48">
        <v>1253136.21</v>
      </c>
      <c r="D6" s="50" t="e">
        <f>(#REF!-E6)</f>
        <v>#REF!</v>
      </c>
      <c r="E6" s="51">
        <f>'[1]10-11 for 12-13 Asmt'!AW6</f>
        <v>649792.29999999993</v>
      </c>
      <c r="F6" s="53"/>
      <c r="G6" s="54"/>
      <c r="H6" s="55"/>
      <c r="I6" s="56"/>
      <c r="J6" s="57"/>
      <c r="K6" s="57">
        <f>SUM(I6:J6)</f>
        <v>0</v>
      </c>
      <c r="L6" s="57">
        <v>75952.834447283632</v>
      </c>
      <c r="M6" s="55">
        <v>62157</v>
      </c>
      <c r="N6" s="57">
        <v>48207.776583678802</v>
      </c>
      <c r="O6" s="57">
        <v>47257</v>
      </c>
      <c r="P6" s="57">
        <v>53990</v>
      </c>
      <c r="Q6" s="57">
        <v>47896.338584167788</v>
      </c>
      <c r="R6" s="56">
        <v>74385</v>
      </c>
      <c r="S6" s="56">
        <v>47198</v>
      </c>
      <c r="T6" s="56">
        <v>47103</v>
      </c>
      <c r="U6" s="56">
        <v>49124</v>
      </c>
      <c r="V6" s="56">
        <v>35946</v>
      </c>
      <c r="W6" s="56">
        <v>37797</v>
      </c>
      <c r="X6" s="56">
        <v>34244.324989071261</v>
      </c>
      <c r="Y6" s="56">
        <v>26436.365624535989</v>
      </c>
      <c r="Z6" s="57"/>
      <c r="AA6" s="46" t="s">
        <v>138</v>
      </c>
      <c r="AB6" s="90">
        <v>1250390.83</v>
      </c>
      <c r="AC6" s="90">
        <v>1345133.88</v>
      </c>
      <c r="AD6" s="95">
        <f>(C6+AB6+AC6)/3</f>
        <v>1282886.9733333334</v>
      </c>
      <c r="AE6" s="99">
        <f>(AD6/$AD$87)*$AE$5</f>
        <v>33102.937191548182</v>
      </c>
      <c r="AF6" s="104">
        <f>AE6/AD6</f>
        <v>2.5803471295321217E-2</v>
      </c>
    </row>
    <row r="7" spans="1:32" ht="15" customHeight="1">
      <c r="A7" s="45" t="s">
        <v>139</v>
      </c>
      <c r="B7" s="46" t="s">
        <v>136</v>
      </c>
      <c r="C7" s="60">
        <v>39759.24</v>
      </c>
      <c r="D7" s="50" t="e">
        <f>(#REF!-E7)</f>
        <v>#REF!</v>
      </c>
      <c r="E7" s="51">
        <f>'[1]10-11 for 12-13 Asmt'!AW7</f>
        <v>27518.880000000005</v>
      </c>
      <c r="F7" s="61"/>
      <c r="G7" s="61"/>
      <c r="H7" s="62"/>
      <c r="I7" s="63"/>
      <c r="J7" s="62"/>
      <c r="K7" s="62">
        <v>1318</v>
      </c>
      <c r="L7" s="62">
        <v>1232.6480000000001</v>
      </c>
      <c r="M7" s="62">
        <v>1289</v>
      </c>
      <c r="N7" s="64">
        <v>500</v>
      </c>
      <c r="O7" s="64">
        <v>500</v>
      </c>
      <c r="P7" s="64">
        <v>500</v>
      </c>
      <c r="Q7" s="64">
        <v>500</v>
      </c>
      <c r="R7" s="63">
        <v>500</v>
      </c>
      <c r="S7" s="63">
        <v>500</v>
      </c>
      <c r="T7" s="63">
        <v>500</v>
      </c>
      <c r="U7" s="63">
        <v>525</v>
      </c>
      <c r="V7" s="63">
        <v>565</v>
      </c>
      <c r="W7" s="63">
        <v>1038</v>
      </c>
      <c r="X7" s="63">
        <v>1563.6212752836959</v>
      </c>
      <c r="Y7" s="63">
        <v>1801.2245231573754</v>
      </c>
      <c r="Z7" s="64"/>
      <c r="AA7" s="65" t="s">
        <v>136</v>
      </c>
      <c r="AB7" s="60">
        <v>39585.64</v>
      </c>
      <c r="AC7" s="60">
        <v>33140.660000000003</v>
      </c>
      <c r="AD7" s="94">
        <f t="shared" ref="AD7:AD60" si="0">(C7+AB7+AC7)/3</f>
        <v>37495.18</v>
      </c>
      <c r="AE7" s="98">
        <f t="shared" ref="AE7:AE70" si="1">(AD7/$AD$87)*$AE$5</f>
        <v>967.5058008429022</v>
      </c>
      <c r="AF7" s="104">
        <f t="shared" ref="AF7:AF70" si="2">AE7/AD7</f>
        <v>2.5803471295321217E-2</v>
      </c>
    </row>
    <row r="8" spans="1:32" s="58" customFormat="1" ht="15" customHeight="1">
      <c r="A8" s="45" t="s">
        <v>141</v>
      </c>
      <c r="B8" s="46" t="s">
        <v>142</v>
      </c>
      <c r="C8" s="48">
        <v>442484</v>
      </c>
      <c r="D8" s="50" t="e">
        <f>(#REF!-E8)</f>
        <v>#REF!</v>
      </c>
      <c r="E8" s="51">
        <f>'[1]10-11 for 12-13 Asmt'!AW8</f>
        <v>141350.44000000018</v>
      </c>
      <c r="F8" s="54" t="s">
        <v>144</v>
      </c>
      <c r="G8" s="66" t="s">
        <v>145</v>
      </c>
      <c r="H8" s="57"/>
      <c r="I8" s="56"/>
      <c r="J8" s="57"/>
      <c r="K8" s="57">
        <f>SUM(I8:J8)</f>
        <v>0</v>
      </c>
      <c r="L8" s="57">
        <v>40218.094877835523</v>
      </c>
      <c r="M8" s="57">
        <v>39957</v>
      </c>
      <c r="N8" s="57">
        <v>30782.263384326066</v>
      </c>
      <c r="O8" s="57">
        <v>36340</v>
      </c>
      <c r="P8" s="57">
        <v>36161</v>
      </c>
      <c r="Q8" s="57">
        <v>27914.290105553901</v>
      </c>
      <c r="R8" s="56">
        <v>34223</v>
      </c>
      <c r="S8" s="56">
        <v>28616</v>
      </c>
      <c r="T8" s="56">
        <v>28664</v>
      </c>
      <c r="U8" s="56">
        <v>27664</v>
      </c>
      <c r="V8" s="56">
        <v>24716</v>
      </c>
      <c r="W8" s="56">
        <v>19565</v>
      </c>
      <c r="X8" s="56">
        <v>20082.824276612297</v>
      </c>
      <c r="Y8" s="56">
        <v>23734</v>
      </c>
      <c r="Z8" s="57"/>
      <c r="AA8" s="46" t="s">
        <v>142</v>
      </c>
      <c r="AB8" s="48">
        <v>471046.94</v>
      </c>
      <c r="AC8" s="48">
        <v>437685.6</v>
      </c>
      <c r="AD8" s="94">
        <f t="shared" si="0"/>
        <v>450405.51333333337</v>
      </c>
      <c r="AE8" s="98">
        <f t="shared" si="1"/>
        <v>11622.025734551085</v>
      </c>
      <c r="AF8" s="104">
        <f t="shared" si="2"/>
        <v>2.5803471295321217E-2</v>
      </c>
    </row>
    <row r="9" spans="1:32" s="58" customFormat="1" ht="15" customHeight="1">
      <c r="A9" s="45" t="s">
        <v>141</v>
      </c>
      <c r="B9" s="46" t="s">
        <v>146</v>
      </c>
      <c r="C9" s="48">
        <v>48000.800000000003</v>
      </c>
      <c r="D9" s="50" t="e">
        <f>(#REF!-E9)</f>
        <v>#REF!</v>
      </c>
      <c r="E9" s="51">
        <f>'[1]10-11 for 12-13 Asmt'!AW9</f>
        <v>51764.350000000006</v>
      </c>
      <c r="F9" s="54"/>
      <c r="G9" s="54" t="s">
        <v>148</v>
      </c>
      <c r="H9" s="57"/>
      <c r="I9" s="56"/>
      <c r="J9" s="57"/>
      <c r="K9" s="57">
        <v>2602</v>
      </c>
      <c r="L9" s="57">
        <v>2773.0475000000006</v>
      </c>
      <c r="M9" s="57">
        <v>1967</v>
      </c>
      <c r="N9" s="57">
        <v>1250</v>
      </c>
      <c r="O9" s="57">
        <v>5335</v>
      </c>
      <c r="P9" s="57">
        <v>5869</v>
      </c>
      <c r="Q9" s="57">
        <v>6493.0289605767002</v>
      </c>
      <c r="R9" s="56">
        <v>5716</v>
      </c>
      <c r="S9" s="56">
        <v>5435</v>
      </c>
      <c r="T9" s="56">
        <v>5084</v>
      </c>
      <c r="U9" s="56">
        <v>4719</v>
      </c>
      <c r="V9" s="56">
        <v>1084</v>
      </c>
      <c r="W9" s="56">
        <v>1072</v>
      </c>
      <c r="X9" s="56">
        <v>2293.6002674896899</v>
      </c>
      <c r="Y9" s="56">
        <v>2096.7026722640344</v>
      </c>
      <c r="Z9" s="57"/>
      <c r="AA9" s="46" t="s">
        <v>146</v>
      </c>
      <c r="AB9" s="48">
        <v>56286.65</v>
      </c>
      <c r="AC9" s="48">
        <v>55753.31</v>
      </c>
      <c r="AD9" s="94">
        <f t="shared" si="0"/>
        <v>53346.920000000006</v>
      </c>
      <c r="AE9" s="98">
        <f t="shared" si="1"/>
        <v>1376.5357189137976</v>
      </c>
      <c r="AF9" s="104">
        <f t="shared" si="2"/>
        <v>2.580347129532122E-2</v>
      </c>
    </row>
    <row r="10" spans="1:32" s="58" customFormat="1" ht="15" customHeight="1">
      <c r="A10" s="45" t="s">
        <v>149</v>
      </c>
      <c r="B10" s="46" t="s">
        <v>150</v>
      </c>
      <c r="C10" s="48">
        <v>19819.84</v>
      </c>
      <c r="D10" s="50" t="e">
        <f>(#REF!-E10)</f>
        <v>#REF!</v>
      </c>
      <c r="E10" s="51">
        <f>'[1]10-11 for 12-13 Asmt'!AW10</f>
        <v>44396.159999999996</v>
      </c>
      <c r="F10" s="54"/>
      <c r="G10" s="54" t="s">
        <v>152</v>
      </c>
      <c r="H10" s="57"/>
      <c r="I10" s="56"/>
      <c r="J10" s="57"/>
      <c r="K10" s="57">
        <v>1341</v>
      </c>
      <c r="L10" s="57">
        <v>1283.1315000000002</v>
      </c>
      <c r="M10" s="57">
        <v>1039</v>
      </c>
      <c r="N10" s="57">
        <v>500</v>
      </c>
      <c r="O10" s="57">
        <v>750</v>
      </c>
      <c r="P10" s="57">
        <v>4708</v>
      </c>
      <c r="Q10" s="57">
        <v>6240.5901998713998</v>
      </c>
      <c r="R10" s="56">
        <v>6499</v>
      </c>
      <c r="S10" s="56">
        <v>4400</v>
      </c>
      <c r="T10" s="56">
        <v>2200</v>
      </c>
      <c r="U10" s="56">
        <v>1100</v>
      </c>
      <c r="V10" s="56">
        <v>1093</v>
      </c>
      <c r="W10" s="56">
        <v>1074</v>
      </c>
      <c r="X10" s="56">
        <v>2301.7704581746525</v>
      </c>
      <c r="Y10" s="56">
        <v>2295.4342109768891</v>
      </c>
      <c r="Z10" s="57"/>
      <c r="AA10" s="46" t="s">
        <v>150</v>
      </c>
      <c r="AB10" s="48">
        <v>21011.05</v>
      </c>
      <c r="AC10" s="48">
        <v>20839.28</v>
      </c>
      <c r="AD10" s="94">
        <f t="shared" si="0"/>
        <v>20556.723333333332</v>
      </c>
      <c r="AE10" s="98">
        <f t="shared" si="1"/>
        <v>530.43482045752648</v>
      </c>
      <c r="AF10" s="104">
        <f t="shared" si="2"/>
        <v>2.5803471295321217E-2</v>
      </c>
    </row>
    <row r="11" spans="1:32" s="58" customFormat="1" ht="15" customHeight="1">
      <c r="A11" s="45" t="s">
        <v>153</v>
      </c>
      <c r="B11" s="46" t="s">
        <v>154</v>
      </c>
      <c r="C11" s="48">
        <v>93462.97</v>
      </c>
      <c r="D11" s="50" t="e">
        <f>(#REF!-E11)</f>
        <v>#REF!</v>
      </c>
      <c r="E11" s="51">
        <f>'[1]10-11 for 12-13 Asmt'!AW11</f>
        <v>77750.400000000038</v>
      </c>
      <c r="F11" s="54"/>
      <c r="G11" s="54" t="s">
        <v>156</v>
      </c>
      <c r="H11" s="57"/>
      <c r="I11" s="56"/>
      <c r="J11" s="57"/>
      <c r="K11" s="57">
        <f>SUM(I11:J11)</f>
        <v>0</v>
      </c>
      <c r="L11" s="57">
        <v>13302.374058628653</v>
      </c>
      <c r="M11" s="57">
        <v>12766</v>
      </c>
      <c r="N11" s="57">
        <v>15181.993973236642</v>
      </c>
      <c r="O11" s="57">
        <v>8842</v>
      </c>
      <c r="P11" s="57">
        <v>7241</v>
      </c>
      <c r="Q11" s="57">
        <v>7500.8099729633195</v>
      </c>
      <c r="R11" s="56">
        <v>8401</v>
      </c>
      <c r="S11" s="56">
        <v>6674</v>
      </c>
      <c r="T11" s="56">
        <v>8066</v>
      </c>
      <c r="U11" s="56">
        <v>8536</v>
      </c>
      <c r="V11" s="56">
        <v>8150</v>
      </c>
      <c r="W11" s="56">
        <v>7508</v>
      </c>
      <c r="X11" s="56">
        <v>6456.472283727976</v>
      </c>
      <c r="Y11" s="56">
        <v>7605.4113619545669</v>
      </c>
      <c r="Z11" s="57"/>
      <c r="AA11" s="46" t="s">
        <v>154</v>
      </c>
      <c r="AB11" s="48">
        <v>97289.35</v>
      </c>
      <c r="AC11" s="48">
        <v>95628.81</v>
      </c>
      <c r="AD11" s="94">
        <f t="shared" si="0"/>
        <v>95460.376666666663</v>
      </c>
      <c r="AE11" s="98">
        <f t="shared" si="1"/>
        <v>2463.209089158885</v>
      </c>
      <c r="AF11" s="104">
        <f t="shared" si="2"/>
        <v>2.5803471295321224E-2</v>
      </c>
    </row>
    <row r="12" spans="1:32" ht="15" customHeight="1">
      <c r="A12" s="45" t="s">
        <v>157</v>
      </c>
      <c r="B12" s="46" t="s">
        <v>158</v>
      </c>
      <c r="C12" s="60">
        <v>1468891.2</v>
      </c>
      <c r="D12" s="50" t="e">
        <f>(#REF!-E12)</f>
        <v>#REF!</v>
      </c>
      <c r="E12" s="51">
        <f>'[1]10-11 for 12-13 Asmt'!AW12</f>
        <v>743334</v>
      </c>
      <c r="F12" s="61" t="s">
        <v>160</v>
      </c>
      <c r="G12" s="61" t="s">
        <v>161</v>
      </c>
      <c r="H12" s="64"/>
      <c r="I12" s="63"/>
      <c r="J12" s="64"/>
      <c r="K12" s="64">
        <f>SUM(I12:J12)</f>
        <v>0</v>
      </c>
      <c r="L12" s="64">
        <v>98466.23731941302</v>
      </c>
      <c r="M12" s="64">
        <v>109322</v>
      </c>
      <c r="N12" s="64">
        <v>107958.76443700958</v>
      </c>
      <c r="O12" s="64">
        <v>102880</v>
      </c>
      <c r="P12" s="64">
        <v>82570</v>
      </c>
      <c r="Q12" s="64">
        <v>88698.197097187993</v>
      </c>
      <c r="R12" s="63">
        <v>81467</v>
      </c>
      <c r="S12" s="63">
        <v>74291</v>
      </c>
      <c r="T12" s="63">
        <v>79239</v>
      </c>
      <c r="U12" s="63">
        <v>66465</v>
      </c>
      <c r="V12" s="63">
        <v>62412</v>
      </c>
      <c r="W12" s="63">
        <v>63082</v>
      </c>
      <c r="X12" s="63">
        <v>53612.141988045507</v>
      </c>
      <c r="Y12" s="63">
        <v>48364</v>
      </c>
      <c r="Z12" s="64"/>
      <c r="AA12" s="65" t="s">
        <v>162</v>
      </c>
      <c r="AB12" s="60">
        <v>1446366.38</v>
      </c>
      <c r="AC12" s="60">
        <v>1424955</v>
      </c>
      <c r="AD12" s="94">
        <f t="shared" si="0"/>
        <v>1446737.5266666666</v>
      </c>
      <c r="AE12" s="98">
        <f t="shared" si="1"/>
        <v>37330.85024120735</v>
      </c>
      <c r="AF12" s="104">
        <f t="shared" si="2"/>
        <v>2.580347129532122E-2</v>
      </c>
    </row>
    <row r="13" spans="1:32" s="58" customFormat="1" ht="15" customHeight="1">
      <c r="A13" s="45" t="s">
        <v>163</v>
      </c>
      <c r="B13" s="46" t="s">
        <v>164</v>
      </c>
      <c r="C13" s="48">
        <v>101633.51</v>
      </c>
      <c r="D13" s="50" t="e">
        <f>(#REF!-E13)</f>
        <v>#REF!</v>
      </c>
      <c r="E13" s="51">
        <f>'[1]10-11 for 12-13 Asmt'!AW13</f>
        <v>72572.639999999985</v>
      </c>
      <c r="F13" s="54"/>
      <c r="G13" s="54"/>
      <c r="H13" s="57"/>
      <c r="I13" s="56"/>
      <c r="J13" s="57"/>
      <c r="K13" s="57">
        <f>SUM(I13:J13)</f>
        <v>0</v>
      </c>
      <c r="L13" s="57">
        <v>11715.905088598338</v>
      </c>
      <c r="M13" s="57">
        <v>14502</v>
      </c>
      <c r="N13" s="57">
        <v>13630.029460085105</v>
      </c>
      <c r="O13" s="57">
        <v>10083</v>
      </c>
      <c r="P13" s="57">
        <v>8687</v>
      </c>
      <c r="Q13" s="57">
        <v>7943.7905687187595</v>
      </c>
      <c r="R13" s="56">
        <v>7832</v>
      </c>
      <c r="S13" s="56">
        <v>7889</v>
      </c>
      <c r="T13" s="56">
        <v>7625</v>
      </c>
      <c r="U13" s="56">
        <v>7726</v>
      </c>
      <c r="V13" s="56">
        <v>6866</v>
      </c>
      <c r="W13" s="56">
        <v>6026</v>
      </c>
      <c r="X13" s="56">
        <v>6565.9668575960877</v>
      </c>
      <c r="Y13" s="56">
        <v>5429.9868625157842</v>
      </c>
      <c r="Z13" s="57"/>
      <c r="AA13" s="46" t="s">
        <v>164</v>
      </c>
      <c r="AB13" s="48">
        <v>101657</v>
      </c>
      <c r="AC13" s="48">
        <v>79086.86</v>
      </c>
      <c r="AD13" s="94">
        <f t="shared" si="0"/>
        <v>94125.79</v>
      </c>
      <c r="AE13" s="98">
        <f t="shared" si="1"/>
        <v>2428.7721204144332</v>
      </c>
      <c r="AF13" s="104">
        <f t="shared" si="2"/>
        <v>2.5803471295321224E-2</v>
      </c>
    </row>
    <row r="14" spans="1:32" s="58" customFormat="1" ht="15" customHeight="1">
      <c r="A14" s="45" t="s">
        <v>165</v>
      </c>
      <c r="B14" s="46" t="s">
        <v>166</v>
      </c>
      <c r="C14" s="48">
        <v>1254835.44</v>
      </c>
      <c r="D14" s="50" t="e">
        <f>(#REF!-E14)</f>
        <v>#REF!</v>
      </c>
      <c r="E14" s="51">
        <f>'[1]10-11 for 12-13 Asmt'!AW14</f>
        <v>685869.16999999993</v>
      </c>
      <c r="F14" s="54" t="s">
        <v>168</v>
      </c>
      <c r="G14" s="54" t="s">
        <v>169</v>
      </c>
      <c r="H14" s="57"/>
      <c r="I14" s="56"/>
      <c r="J14" s="57"/>
      <c r="K14" s="57">
        <f>SUM(I14:J14)</f>
        <v>0</v>
      </c>
      <c r="L14" s="57">
        <v>101545.85676773894</v>
      </c>
      <c r="M14" s="57">
        <v>116511</v>
      </c>
      <c r="N14" s="57">
        <v>99467.733212686057</v>
      </c>
      <c r="O14" s="57">
        <v>64763</v>
      </c>
      <c r="P14" s="57">
        <v>85912</v>
      </c>
      <c r="Q14" s="57">
        <v>73807.785577032526</v>
      </c>
      <c r="R14" s="56">
        <v>86742</v>
      </c>
      <c r="S14" s="56">
        <v>68717</v>
      </c>
      <c r="T14" s="56">
        <v>60755</v>
      </c>
      <c r="U14" s="56">
        <v>64232</v>
      </c>
      <c r="V14" s="56">
        <v>50703</v>
      </c>
      <c r="W14" s="56">
        <v>45614</v>
      </c>
      <c r="X14" s="56">
        <v>19198.980328194</v>
      </c>
      <c r="Y14" s="56">
        <v>23574.451447432588</v>
      </c>
      <c r="Z14" s="57"/>
      <c r="AA14" s="46" t="s">
        <v>166</v>
      </c>
      <c r="AB14" s="48">
        <v>1204072.06</v>
      </c>
      <c r="AC14" s="48">
        <v>1174815.3799999999</v>
      </c>
      <c r="AD14" s="94">
        <f t="shared" si="0"/>
        <v>1211240.96</v>
      </c>
      <c r="AE14" s="98">
        <f t="shared" si="1"/>
        <v>31254.221343077315</v>
      </c>
      <c r="AF14" s="104">
        <f t="shared" si="2"/>
        <v>2.580347129532122E-2</v>
      </c>
    </row>
    <row r="15" spans="1:32" ht="15" customHeight="1">
      <c r="A15" s="45" t="s">
        <v>170</v>
      </c>
      <c r="B15" s="46" t="s">
        <v>171</v>
      </c>
      <c r="C15" s="60">
        <v>33793.25</v>
      </c>
      <c r="D15" s="50" t="e">
        <f>(#REF!-E15)</f>
        <v>#REF!</v>
      </c>
      <c r="E15" s="51">
        <f>'[1]10-11 for 12-13 Asmt'!AW15</f>
        <v>36789.160000000003</v>
      </c>
      <c r="F15" s="60"/>
      <c r="G15" s="60"/>
      <c r="H15" s="62"/>
      <c r="I15" s="63"/>
      <c r="J15" s="62"/>
      <c r="K15" s="62">
        <v>1857</v>
      </c>
      <c r="L15" s="62">
        <v>1871.5845000000002</v>
      </c>
      <c r="M15" s="62">
        <v>1911</v>
      </c>
      <c r="N15" s="64">
        <v>1000</v>
      </c>
      <c r="O15" s="64">
        <v>1000</v>
      </c>
      <c r="P15" s="64">
        <v>500</v>
      </c>
      <c r="Q15" s="64">
        <v>1000</v>
      </c>
      <c r="R15" s="63">
        <v>500</v>
      </c>
      <c r="S15" s="63">
        <v>500</v>
      </c>
      <c r="T15" s="63">
        <v>500</v>
      </c>
      <c r="U15" s="63">
        <v>525</v>
      </c>
      <c r="V15" s="63">
        <v>556</v>
      </c>
      <c r="W15" s="63">
        <v>1068</v>
      </c>
      <c r="X15" s="63">
        <v>1671.8480185382916</v>
      </c>
      <c r="Y15" s="63">
        <v>1000</v>
      </c>
      <c r="Z15" s="64"/>
      <c r="AA15" s="65" t="s">
        <v>171</v>
      </c>
      <c r="AB15" s="60">
        <v>31554.25</v>
      </c>
      <c r="AC15" s="60">
        <v>32880</v>
      </c>
      <c r="AD15" s="94">
        <f t="shared" si="0"/>
        <v>32742.5</v>
      </c>
      <c r="AE15" s="98">
        <f t="shared" si="1"/>
        <v>844.87015888705503</v>
      </c>
      <c r="AF15" s="104">
        <f t="shared" si="2"/>
        <v>2.580347129532122E-2</v>
      </c>
    </row>
    <row r="16" spans="1:32" ht="15" customHeight="1">
      <c r="A16" s="45" t="s">
        <v>172</v>
      </c>
      <c r="B16" s="46" t="s">
        <v>136</v>
      </c>
      <c r="C16" s="60">
        <v>1193740.43</v>
      </c>
      <c r="D16" s="50" t="e">
        <f>(#REF!-E16)</f>
        <v>#REF!</v>
      </c>
      <c r="E16" s="51">
        <f>'[1]10-11 for 12-13 Asmt'!AW16</f>
        <v>512233.03000000026</v>
      </c>
      <c r="F16" s="60"/>
      <c r="G16" s="61" t="s">
        <v>174</v>
      </c>
      <c r="H16" s="64"/>
      <c r="I16" s="63"/>
      <c r="J16" s="64"/>
      <c r="K16" s="64">
        <f>SUM(I16:J16)</f>
        <v>0</v>
      </c>
      <c r="L16" s="67">
        <v>77448</v>
      </c>
      <c r="M16" s="64">
        <v>79774</v>
      </c>
      <c r="N16" s="64">
        <v>72406.645657163579</v>
      </c>
      <c r="O16" s="64">
        <v>65560</v>
      </c>
      <c r="P16" s="64">
        <v>51937</v>
      </c>
      <c r="Q16" s="64">
        <v>55789.760753420938</v>
      </c>
      <c r="R16" s="63">
        <v>65892</v>
      </c>
      <c r="S16" s="63">
        <v>51639</v>
      </c>
      <c r="T16" s="63">
        <v>46960</v>
      </c>
      <c r="U16" s="63">
        <v>44521</v>
      </c>
      <c r="V16" s="63">
        <v>32817</v>
      </c>
      <c r="W16" s="63">
        <v>33541</v>
      </c>
      <c r="X16" s="63">
        <v>31941.32359157156</v>
      </c>
      <c r="Y16" s="63">
        <v>35430.463689131931</v>
      </c>
      <c r="Z16" s="64"/>
      <c r="AA16" s="65" t="s">
        <v>136</v>
      </c>
      <c r="AB16" s="60">
        <v>1050090.01</v>
      </c>
      <c r="AC16" s="60">
        <v>1046282.82</v>
      </c>
      <c r="AD16" s="94">
        <f t="shared" si="0"/>
        <v>1096704.42</v>
      </c>
      <c r="AE16" s="98">
        <f t="shared" si="1"/>
        <v>28298.781020921902</v>
      </c>
      <c r="AF16" s="104">
        <f t="shared" si="2"/>
        <v>2.5803471295321217E-2</v>
      </c>
    </row>
    <row r="17" spans="1:181" s="58" customFormat="1" ht="15" customHeight="1">
      <c r="A17" s="45" t="s">
        <v>175</v>
      </c>
      <c r="B17" s="46" t="s">
        <v>176</v>
      </c>
      <c r="C17" s="48">
        <v>88566.76</v>
      </c>
      <c r="D17" s="50" t="e">
        <f>(#REF!-E17)</f>
        <v>#REF!</v>
      </c>
      <c r="E17" s="51">
        <f>'[1]10-11 for 12-13 Asmt'!AW17</f>
        <v>92964.69</v>
      </c>
      <c r="F17" s="54"/>
      <c r="G17" s="54" t="s">
        <v>178</v>
      </c>
      <c r="H17" s="57"/>
      <c r="I17" s="56"/>
      <c r="J17" s="57"/>
      <c r="K17" s="57">
        <f>SUM(I17:J17)</f>
        <v>0</v>
      </c>
      <c r="L17" s="57">
        <v>15368.105132745834</v>
      </c>
      <c r="M17" s="57">
        <v>13611</v>
      </c>
      <c r="N17" s="57">
        <v>11924.129474367288</v>
      </c>
      <c r="O17" s="57">
        <v>12452</v>
      </c>
      <c r="P17" s="57">
        <v>11778</v>
      </c>
      <c r="Q17" s="57">
        <v>13927.81805886242</v>
      </c>
      <c r="R17" s="56">
        <v>15458</v>
      </c>
      <c r="S17" s="56">
        <v>11992</v>
      </c>
      <c r="T17" s="56">
        <v>13160</v>
      </c>
      <c r="U17" s="56">
        <v>16246</v>
      </c>
      <c r="V17" s="56">
        <v>13420</v>
      </c>
      <c r="W17" s="56">
        <v>21595</v>
      </c>
      <c r="X17" s="56">
        <v>11528.29891873178</v>
      </c>
      <c r="Y17" s="56">
        <v>12745.14571584962</v>
      </c>
      <c r="Z17" s="57"/>
      <c r="AA17" s="46" t="s">
        <v>179</v>
      </c>
      <c r="AB17" s="48">
        <v>86233.51</v>
      </c>
      <c r="AC17" s="48">
        <v>83917.92</v>
      </c>
      <c r="AD17" s="94">
        <f t="shared" si="0"/>
        <v>86239.396666666667</v>
      </c>
      <c r="AE17" s="98">
        <f t="shared" si="1"/>
        <v>2225.2757964141538</v>
      </c>
      <c r="AF17" s="104">
        <f t="shared" si="2"/>
        <v>2.580347129532122E-2</v>
      </c>
    </row>
    <row r="18" spans="1:181" ht="15" customHeight="1">
      <c r="A18" s="45" t="s">
        <v>175</v>
      </c>
      <c r="B18" s="46" t="s">
        <v>180</v>
      </c>
      <c r="C18" s="60">
        <v>164834.14000000001</v>
      </c>
      <c r="D18" s="50" t="e">
        <f>(#REF!-E18)</f>
        <v>#REF!</v>
      </c>
      <c r="E18" s="51">
        <f>'[1]10-11 for 12-13 Asmt'!AW18</f>
        <v>126355.13</v>
      </c>
      <c r="F18" s="60"/>
      <c r="G18" s="60"/>
      <c r="H18" s="64"/>
      <c r="I18" s="63"/>
      <c r="J18" s="64"/>
      <c r="K18" s="64">
        <f>SUM(I18:J18)</f>
        <v>0</v>
      </c>
      <c r="L18" s="64">
        <v>20451.820638794758</v>
      </c>
      <c r="M18" s="64">
        <v>23760</v>
      </c>
      <c r="N18" s="64">
        <v>22545.891834711681</v>
      </c>
      <c r="O18" s="64">
        <v>20883</v>
      </c>
      <c r="P18" s="64">
        <v>18025</v>
      </c>
      <c r="Q18" s="64">
        <v>18667.977092449437</v>
      </c>
      <c r="R18" s="63">
        <v>18022</v>
      </c>
      <c r="S18" s="63">
        <v>14393</v>
      </c>
      <c r="T18" s="63">
        <v>13219</v>
      </c>
      <c r="U18" s="63">
        <v>13671</v>
      </c>
      <c r="V18" s="63">
        <v>12619</v>
      </c>
      <c r="W18" s="63">
        <v>12534</v>
      </c>
      <c r="X18" s="63">
        <v>10972.199636438938</v>
      </c>
      <c r="Y18" s="63">
        <v>10852.928872003837</v>
      </c>
      <c r="Z18" s="64"/>
      <c r="AA18" s="65" t="s">
        <v>180</v>
      </c>
      <c r="AB18" s="60">
        <v>150930.04999999999</v>
      </c>
      <c r="AC18" s="60">
        <v>145502.76</v>
      </c>
      <c r="AD18" s="94">
        <f t="shared" si="0"/>
        <v>153755.65</v>
      </c>
      <c r="AE18" s="98">
        <f t="shared" si="1"/>
        <v>3967.4295012684561</v>
      </c>
      <c r="AF18" s="104">
        <f t="shared" si="2"/>
        <v>2.580347129532122E-2</v>
      </c>
    </row>
    <row r="19" spans="1:181" s="58" customFormat="1" ht="15" customHeight="1">
      <c r="A19" s="45" t="s">
        <v>182</v>
      </c>
      <c r="B19" s="46" t="s">
        <v>183</v>
      </c>
      <c r="C19" s="48">
        <v>3223.93</v>
      </c>
      <c r="D19" s="50" t="e">
        <f>(#REF!-E19)</f>
        <v>#REF!</v>
      </c>
      <c r="E19" s="51">
        <f>'[1]10-11 for 12-13 Asmt'!AW19</f>
        <v>3633.4199999999983</v>
      </c>
      <c r="F19" s="54"/>
      <c r="G19" s="54" t="s">
        <v>185</v>
      </c>
      <c r="H19" s="57"/>
      <c r="I19" s="56"/>
      <c r="J19" s="57"/>
      <c r="K19" s="57">
        <v>50</v>
      </c>
      <c r="L19" s="57">
        <v>50</v>
      </c>
      <c r="M19" s="57">
        <v>50</v>
      </c>
      <c r="N19" s="57">
        <v>50</v>
      </c>
      <c r="O19" s="57">
        <v>50</v>
      </c>
      <c r="P19" s="57">
        <v>50</v>
      </c>
      <c r="Q19" s="57">
        <v>100</v>
      </c>
      <c r="R19" s="56">
        <v>100</v>
      </c>
      <c r="S19" s="56">
        <v>100</v>
      </c>
      <c r="T19" s="56">
        <v>100</v>
      </c>
      <c r="U19" s="56">
        <v>110</v>
      </c>
      <c r="V19" s="56">
        <v>112</v>
      </c>
      <c r="W19" s="56">
        <v>100</v>
      </c>
      <c r="X19" s="56">
        <v>120.63451327435267</v>
      </c>
      <c r="Y19" s="56">
        <v>56.988892955849465</v>
      </c>
      <c r="Z19" s="57"/>
      <c r="AA19" s="46" t="s">
        <v>183</v>
      </c>
      <c r="AB19" s="48">
        <v>2868.34</v>
      </c>
      <c r="AC19" s="48">
        <v>2053.87</v>
      </c>
      <c r="AD19" s="94">
        <f t="shared" si="0"/>
        <v>2715.38</v>
      </c>
      <c r="AE19" s="98">
        <f t="shared" si="1"/>
        <v>70.066229885889328</v>
      </c>
      <c r="AF19" s="104">
        <f t="shared" si="2"/>
        <v>2.5803471295321217E-2</v>
      </c>
    </row>
    <row r="20" spans="1:181" s="58" customFormat="1" ht="15" customHeight="1">
      <c r="A20" s="45" t="s">
        <v>186</v>
      </c>
      <c r="B20" s="46" t="s">
        <v>136</v>
      </c>
      <c r="C20" s="48">
        <v>1070210.69</v>
      </c>
      <c r="D20" s="50" t="e">
        <f>(#REF!-E20)</f>
        <v>#REF!</v>
      </c>
      <c r="E20" s="51">
        <f>'[1]10-11 for 12-13 Asmt'!AW20</f>
        <v>480242.65</v>
      </c>
      <c r="F20" s="54"/>
      <c r="G20" s="54" t="s">
        <v>188</v>
      </c>
      <c r="H20" s="57"/>
      <c r="I20" s="56"/>
      <c r="J20" s="57"/>
      <c r="K20" s="57">
        <f>SUM(I20:J20)</f>
        <v>0</v>
      </c>
      <c r="L20" s="57">
        <v>70260.562481583416</v>
      </c>
      <c r="M20" s="57">
        <v>75791</v>
      </c>
      <c r="N20" s="57">
        <v>67517.284164641358</v>
      </c>
      <c r="O20" s="57">
        <v>56273</v>
      </c>
      <c r="P20" s="57">
        <v>58033</v>
      </c>
      <c r="Q20" s="57">
        <v>56494.22735676603</v>
      </c>
      <c r="R20" s="56">
        <v>47930</v>
      </c>
      <c r="S20" s="56">
        <v>41956</v>
      </c>
      <c r="T20" s="56">
        <v>39491</v>
      </c>
      <c r="U20" s="56">
        <v>36718</v>
      </c>
      <c r="V20" s="56">
        <v>38242</v>
      </c>
      <c r="W20" s="56">
        <v>37008</v>
      </c>
      <c r="X20" s="56">
        <v>35914.662924201803</v>
      </c>
      <c r="Y20" s="56">
        <v>23640.412164192156</v>
      </c>
      <c r="Z20" s="57"/>
      <c r="AA20" s="46" t="s">
        <v>138</v>
      </c>
      <c r="AB20" s="48">
        <v>1047609.89</v>
      </c>
      <c r="AC20" s="48">
        <v>1040171.53</v>
      </c>
      <c r="AD20" s="94">
        <f t="shared" si="0"/>
        <v>1052664.0366666669</v>
      </c>
      <c r="AE20" s="98">
        <f t="shared" si="1"/>
        <v>27162.386253745299</v>
      </c>
      <c r="AF20" s="104">
        <f t="shared" si="2"/>
        <v>2.5803471295321217E-2</v>
      </c>
    </row>
    <row r="21" spans="1:181" s="58" customFormat="1" ht="15" customHeight="1">
      <c r="A21" s="45" t="s">
        <v>189</v>
      </c>
      <c r="B21" s="46" t="s">
        <v>136</v>
      </c>
      <c r="C21" s="48">
        <v>384653.22000000003</v>
      </c>
      <c r="D21" s="50" t="e">
        <f>(#REF!-E21)</f>
        <v>#REF!</v>
      </c>
      <c r="E21" s="51">
        <f>'[1]10-11 for 12-13 Asmt'!AW21</f>
        <v>214514.40999999992</v>
      </c>
      <c r="F21" s="54"/>
      <c r="G21" s="54" t="s">
        <v>191</v>
      </c>
      <c r="H21" s="57"/>
      <c r="I21" s="56"/>
      <c r="J21" s="57"/>
      <c r="K21" s="57">
        <f>SUM(I21:J21)</f>
        <v>0</v>
      </c>
      <c r="L21" s="57">
        <v>44142.682936564539</v>
      </c>
      <c r="M21" s="57">
        <v>49970</v>
      </c>
      <c r="N21" s="57">
        <v>39923.378989567551</v>
      </c>
      <c r="O21" s="57">
        <v>36180</v>
      </c>
      <c r="P21" s="57">
        <v>25213</v>
      </c>
      <c r="Q21" s="57">
        <v>30565.012519560139</v>
      </c>
      <c r="R21" s="56">
        <v>34070</v>
      </c>
      <c r="S21" s="56">
        <v>29704</v>
      </c>
      <c r="T21" s="56">
        <v>30655</v>
      </c>
      <c r="U21" s="56">
        <v>24497</v>
      </c>
      <c r="V21" s="56">
        <v>23733</v>
      </c>
      <c r="W21" s="56">
        <v>19918</v>
      </c>
      <c r="X21" s="56">
        <v>20786.984285732582</v>
      </c>
      <c r="Y21" s="56">
        <v>16896.696494476924</v>
      </c>
      <c r="Z21" s="57"/>
      <c r="AA21" s="46" t="s">
        <v>136</v>
      </c>
      <c r="AB21" s="48">
        <v>395013.6</v>
      </c>
      <c r="AC21" s="48">
        <v>407080.42</v>
      </c>
      <c r="AD21" s="94">
        <f t="shared" si="0"/>
        <v>395582.41333333333</v>
      </c>
      <c r="AE21" s="98">
        <f t="shared" si="1"/>
        <v>10207.399447380561</v>
      </c>
      <c r="AF21" s="104">
        <f t="shared" si="2"/>
        <v>2.580347129532122E-2</v>
      </c>
    </row>
    <row r="22" spans="1:181" ht="15" customHeight="1">
      <c r="A22" s="45" t="s">
        <v>192</v>
      </c>
      <c r="B22" s="46" t="s">
        <v>193</v>
      </c>
      <c r="C22" s="60">
        <v>42676.75</v>
      </c>
      <c r="D22" s="50" t="e">
        <f>(#REF!-E22)</f>
        <v>#REF!</v>
      </c>
      <c r="E22" s="51">
        <f>'[1]10-11 for 12-13 Asmt'!AW22</f>
        <v>34385.039999999994</v>
      </c>
      <c r="F22" s="61"/>
      <c r="G22" s="61" t="s">
        <v>195</v>
      </c>
      <c r="H22" s="62"/>
      <c r="I22" s="63"/>
      <c r="J22" s="62"/>
      <c r="K22" s="62">
        <v>1837</v>
      </c>
      <c r="L22" s="62">
        <v>1697.6655000000001</v>
      </c>
      <c r="M22" s="62">
        <v>2404</v>
      </c>
      <c r="N22" s="64">
        <v>500</v>
      </c>
      <c r="O22" s="64">
        <v>5403</v>
      </c>
      <c r="P22" s="64">
        <v>3500</v>
      </c>
      <c r="Q22" s="64">
        <v>1750</v>
      </c>
      <c r="R22" s="63">
        <v>1750</v>
      </c>
      <c r="S22" s="63">
        <v>1000</v>
      </c>
      <c r="T22" s="63">
        <v>1000</v>
      </c>
      <c r="U22" s="63">
        <v>1100</v>
      </c>
      <c r="V22" s="63">
        <v>1091</v>
      </c>
      <c r="W22" s="63">
        <v>1089</v>
      </c>
      <c r="X22" s="63">
        <v>3255.8898516959321</v>
      </c>
      <c r="Y22" s="63">
        <v>3876.3007516927632</v>
      </c>
      <c r="Z22" s="64"/>
      <c r="AA22" s="65" t="s">
        <v>193</v>
      </c>
      <c r="AB22" s="60">
        <v>39036</v>
      </c>
      <c r="AC22" s="60">
        <v>39374</v>
      </c>
      <c r="AD22" s="94">
        <f t="shared" si="0"/>
        <v>40362.25</v>
      </c>
      <c r="AE22" s="98">
        <f t="shared" si="1"/>
        <v>1041.4861592895788</v>
      </c>
      <c r="AF22" s="104">
        <f t="shared" si="2"/>
        <v>2.5803471295321217E-2</v>
      </c>
    </row>
    <row r="23" spans="1:181" ht="15" customHeight="1">
      <c r="A23" s="45" t="s">
        <v>196</v>
      </c>
      <c r="B23" s="46" t="s">
        <v>197</v>
      </c>
      <c r="C23" s="60">
        <v>95232.85</v>
      </c>
      <c r="D23" s="50" t="e">
        <f>(#REF!-E23)</f>
        <v>#REF!</v>
      </c>
      <c r="E23" s="51">
        <f>'[1]10-11 for 12-13 Asmt'!AW23</f>
        <v>105660.76999999999</v>
      </c>
      <c r="F23" s="61"/>
      <c r="G23" s="61" t="s">
        <v>198</v>
      </c>
      <c r="H23" s="64"/>
      <c r="I23" s="63"/>
      <c r="J23" s="64"/>
      <c r="K23" s="64">
        <f t="shared" ref="K23:K28" si="3">SUM(I23:J23)</f>
        <v>0</v>
      </c>
      <c r="L23" s="64">
        <v>18902.81449959895</v>
      </c>
      <c r="M23" s="64">
        <v>17767</v>
      </c>
      <c r="N23" s="64">
        <v>16510.605248453914</v>
      </c>
      <c r="O23" s="64">
        <v>18187</v>
      </c>
      <c r="P23" s="64">
        <v>18116</v>
      </c>
      <c r="Q23" s="64">
        <v>15658.434993602299</v>
      </c>
      <c r="R23" s="63">
        <v>13936</v>
      </c>
      <c r="S23" s="63">
        <v>13513</v>
      </c>
      <c r="T23" s="63">
        <v>11926</v>
      </c>
      <c r="U23" s="63">
        <v>8329</v>
      </c>
      <c r="V23" s="63">
        <v>8263</v>
      </c>
      <c r="W23" s="63">
        <v>6595</v>
      </c>
      <c r="X23" s="63">
        <v>6205.3213107096226</v>
      </c>
      <c r="Y23" s="63">
        <v>7262.897377498809</v>
      </c>
      <c r="Z23" s="64"/>
      <c r="AA23" s="65" t="s">
        <v>197</v>
      </c>
      <c r="AB23" s="60">
        <v>86562.29</v>
      </c>
      <c r="AC23" s="60">
        <v>94976.05</v>
      </c>
      <c r="AD23" s="94">
        <f t="shared" si="0"/>
        <v>92257.063333333339</v>
      </c>
      <c r="AE23" s="98">
        <f t="shared" si="1"/>
        <v>2380.5524855122985</v>
      </c>
      <c r="AF23" s="104">
        <f t="shared" si="2"/>
        <v>2.580347129532122E-2</v>
      </c>
    </row>
    <row r="24" spans="1:181" s="58" customFormat="1" ht="15" customHeight="1">
      <c r="A24" s="45" t="s">
        <v>199</v>
      </c>
      <c r="B24" s="46" t="s">
        <v>200</v>
      </c>
      <c r="C24" s="48">
        <v>38537.410000000003</v>
      </c>
      <c r="D24" s="50" t="e">
        <f>(#REF!-E24)</f>
        <v>#REF!</v>
      </c>
      <c r="E24" s="51">
        <f>'[1]10-11 for 12-13 Asmt'!AW24</f>
        <v>39963.629999999997</v>
      </c>
      <c r="F24" s="54"/>
      <c r="G24" s="54"/>
      <c r="H24" s="57"/>
      <c r="I24" s="56"/>
      <c r="J24" s="57"/>
      <c r="K24" s="57">
        <f t="shared" si="3"/>
        <v>0</v>
      </c>
      <c r="L24" s="57">
        <v>1996.0610000000001</v>
      </c>
      <c r="M24" s="57">
        <v>1792</v>
      </c>
      <c r="N24" s="57">
        <v>1000</v>
      </c>
      <c r="O24" s="57">
        <v>8160</v>
      </c>
      <c r="P24" s="57">
        <v>8397</v>
      </c>
      <c r="Q24" s="57">
        <v>5892.0835284464792</v>
      </c>
      <c r="R24" s="56">
        <v>6315</v>
      </c>
      <c r="S24" s="56">
        <v>4400</v>
      </c>
      <c r="T24" s="56">
        <v>2200</v>
      </c>
      <c r="U24" s="56">
        <v>1098</v>
      </c>
      <c r="V24" s="56">
        <v>5901</v>
      </c>
      <c r="W24" s="56">
        <v>7600</v>
      </c>
      <c r="X24" s="56">
        <v>6597.9417670166758</v>
      </c>
      <c r="Y24" s="56">
        <v>6514.0537145599465</v>
      </c>
      <c r="Z24" s="57"/>
      <c r="AA24" s="46" t="s">
        <v>200</v>
      </c>
      <c r="AB24" s="48">
        <v>41738.730000000003</v>
      </c>
      <c r="AC24" s="48">
        <v>37024</v>
      </c>
      <c r="AD24" s="94">
        <f t="shared" si="0"/>
        <v>39100.046666666669</v>
      </c>
      <c r="AE24" s="98">
        <f t="shared" si="1"/>
        <v>1008.9169318090535</v>
      </c>
      <c r="AF24" s="104">
        <f t="shared" si="2"/>
        <v>2.580347129532122E-2</v>
      </c>
    </row>
    <row r="25" spans="1:181" s="58" customFormat="1" ht="15" customHeight="1">
      <c r="A25" s="45" t="s">
        <v>199</v>
      </c>
      <c r="B25" s="46" t="s">
        <v>202</v>
      </c>
      <c r="C25" s="48">
        <v>165119.94</v>
      </c>
      <c r="D25" s="50" t="e">
        <f>(#REF!-E25)</f>
        <v>#REF!</v>
      </c>
      <c r="E25" s="51">
        <f>'[1]10-11 for 12-13 Asmt'!AW25</f>
        <v>167946.73</v>
      </c>
      <c r="F25" s="54" t="s">
        <v>203</v>
      </c>
      <c r="G25" s="54"/>
      <c r="H25" s="57"/>
      <c r="I25" s="56"/>
      <c r="J25" s="57"/>
      <c r="K25" s="57">
        <f t="shared" si="3"/>
        <v>0</v>
      </c>
      <c r="L25" s="57">
        <v>24887.419809599836</v>
      </c>
      <c r="M25" s="57">
        <v>26995</v>
      </c>
      <c r="N25" s="57">
        <v>26968.817419172559</v>
      </c>
      <c r="O25" s="57">
        <v>27001</v>
      </c>
      <c r="P25" s="57">
        <v>21680</v>
      </c>
      <c r="Q25" s="57">
        <v>26720.235686694057</v>
      </c>
      <c r="R25" s="56">
        <v>26428</v>
      </c>
      <c r="S25" s="56">
        <v>19514</v>
      </c>
      <c r="T25" s="56">
        <v>22115</v>
      </c>
      <c r="U25" s="56">
        <v>17820</v>
      </c>
      <c r="V25" s="56">
        <v>15963</v>
      </c>
      <c r="W25" s="56">
        <v>17024</v>
      </c>
      <c r="X25" s="56">
        <v>15001.828926715798</v>
      </c>
      <c r="Y25" s="56">
        <v>15718.925617474719</v>
      </c>
      <c r="Z25" s="57"/>
      <c r="AA25" s="46" t="s">
        <v>202</v>
      </c>
      <c r="AB25" s="48">
        <v>171544.12</v>
      </c>
      <c r="AC25" s="48">
        <v>168490.03</v>
      </c>
      <c r="AD25" s="94">
        <f t="shared" si="0"/>
        <v>168384.69666666666</v>
      </c>
      <c r="AE25" s="98">
        <f t="shared" si="1"/>
        <v>4344.9096870097037</v>
      </c>
      <c r="AF25" s="104">
        <f t="shared" si="2"/>
        <v>2.580347129532122E-2</v>
      </c>
    </row>
    <row r="26" spans="1:181" s="58" customFormat="1" ht="15" customHeight="1">
      <c r="A26" s="45" t="s">
        <v>199</v>
      </c>
      <c r="B26" s="46" t="s">
        <v>204</v>
      </c>
      <c r="C26" s="48">
        <v>121862.95</v>
      </c>
      <c r="D26" s="50" t="e">
        <f>(#REF!-E26)</f>
        <v>#REF!</v>
      </c>
      <c r="E26" s="51">
        <f>'[1]10-11 for 12-13 Asmt'!AW26</f>
        <v>84456.62</v>
      </c>
      <c r="F26" s="54" t="s">
        <v>206</v>
      </c>
      <c r="G26" s="48" t="s">
        <v>207</v>
      </c>
      <c r="H26" s="57"/>
      <c r="I26" s="56"/>
      <c r="J26" s="57"/>
      <c r="K26" s="57">
        <f t="shared" si="3"/>
        <v>0</v>
      </c>
      <c r="L26" s="57">
        <v>10919.911210982984</v>
      </c>
      <c r="M26" s="57">
        <v>13738</v>
      </c>
      <c r="N26" s="57">
        <v>13632.240926975679</v>
      </c>
      <c r="O26" s="57">
        <v>11134</v>
      </c>
      <c r="P26" s="57">
        <v>9507</v>
      </c>
      <c r="Q26" s="57">
        <v>10282.6805616889</v>
      </c>
      <c r="R26" s="56">
        <v>8737</v>
      </c>
      <c r="S26" s="56">
        <v>8815</v>
      </c>
      <c r="T26" s="56">
        <v>7966</v>
      </c>
      <c r="U26" s="56">
        <v>7914</v>
      </c>
      <c r="V26" s="56">
        <v>8436</v>
      </c>
      <c r="W26" s="56">
        <v>7035</v>
      </c>
      <c r="X26" s="56">
        <v>5695.9755879956874</v>
      </c>
      <c r="Y26" s="56">
        <v>6025.1330544229404</v>
      </c>
      <c r="Z26" s="57"/>
      <c r="AA26" s="46" t="s">
        <v>204</v>
      </c>
      <c r="AB26" s="48">
        <v>93032.13</v>
      </c>
      <c r="AC26" s="48">
        <v>94192.67</v>
      </c>
      <c r="AD26" s="94">
        <f t="shared" si="0"/>
        <v>103029.25</v>
      </c>
      <c r="AE26" s="98">
        <f t="shared" si="1"/>
        <v>2658.5122949534734</v>
      </c>
      <c r="AF26" s="104">
        <f t="shared" si="2"/>
        <v>2.5803471295321217E-2</v>
      </c>
    </row>
    <row r="27" spans="1:181" s="58" customFormat="1" ht="15" customHeight="1">
      <c r="A27" s="45" t="s">
        <v>208</v>
      </c>
      <c r="B27" s="46" t="s">
        <v>209</v>
      </c>
      <c r="C27" s="48">
        <v>313935.99</v>
      </c>
      <c r="D27" s="50" t="e">
        <f>(#REF!-E27)</f>
        <v>#REF!</v>
      </c>
      <c r="E27" s="51">
        <f>'[1]10-11 for 12-13 Asmt'!AW27</f>
        <v>244603.73999999996</v>
      </c>
      <c r="F27" s="54"/>
      <c r="G27" s="54" t="s">
        <v>211</v>
      </c>
      <c r="H27" s="57"/>
      <c r="I27" s="56"/>
      <c r="J27" s="57"/>
      <c r="K27" s="57">
        <f t="shared" si="3"/>
        <v>0</v>
      </c>
      <c r="L27" s="57">
        <v>26585.386340171706</v>
      </c>
      <c r="M27" s="57">
        <v>18565</v>
      </c>
      <c r="N27" s="57">
        <v>23146.417390152255</v>
      </c>
      <c r="O27" s="57">
        <v>22430</v>
      </c>
      <c r="P27" s="57">
        <v>17981</v>
      </c>
      <c r="Q27" s="57">
        <v>22325.222604460356</v>
      </c>
      <c r="R27" s="56">
        <v>20632</v>
      </c>
      <c r="S27" s="56">
        <v>20551</v>
      </c>
      <c r="T27" s="56">
        <v>19955</v>
      </c>
      <c r="U27" s="56">
        <v>21143</v>
      </c>
      <c r="V27" s="56">
        <v>17530</v>
      </c>
      <c r="W27" s="56">
        <v>19532</v>
      </c>
      <c r="X27" s="56">
        <v>16345.928589999787</v>
      </c>
      <c r="Y27" s="56">
        <v>14275.500267356036</v>
      </c>
      <c r="Z27" s="57"/>
      <c r="AA27" s="46" t="s">
        <v>212</v>
      </c>
      <c r="AB27" s="48">
        <v>277772.53999999998</v>
      </c>
      <c r="AC27" s="48">
        <v>305386.57</v>
      </c>
      <c r="AD27" s="94">
        <f t="shared" si="0"/>
        <v>299031.7</v>
      </c>
      <c r="AE27" s="98">
        <f t="shared" si="1"/>
        <v>7716.0558873411055</v>
      </c>
      <c r="AF27" s="104">
        <f t="shared" si="2"/>
        <v>2.5803471295321217E-2</v>
      </c>
    </row>
    <row r="28" spans="1:181" ht="15" customHeight="1">
      <c r="A28" s="45" t="s">
        <v>213</v>
      </c>
      <c r="B28" s="46" t="s">
        <v>214</v>
      </c>
      <c r="C28" s="60">
        <v>158157.45000000001</v>
      </c>
      <c r="D28" s="50" t="e">
        <f>(#REF!-E28)</f>
        <v>#REF!</v>
      </c>
      <c r="E28" s="51">
        <f>'[1]10-11 for 12-13 Asmt'!AW28</f>
        <v>127042.29000000001</v>
      </c>
      <c r="F28" s="60"/>
      <c r="G28" s="60"/>
      <c r="H28" s="64"/>
      <c r="I28" s="63"/>
      <c r="J28" s="64"/>
      <c r="K28" s="64">
        <f t="shared" si="3"/>
        <v>0</v>
      </c>
      <c r="L28" s="64">
        <v>14028.478926717184</v>
      </c>
      <c r="M28" s="64">
        <v>12035</v>
      </c>
      <c r="N28" s="64">
        <v>13676.768624293551</v>
      </c>
      <c r="O28" s="64">
        <v>10557</v>
      </c>
      <c r="P28" s="64">
        <v>8878</v>
      </c>
      <c r="Q28" s="64">
        <v>9694.2137658619176</v>
      </c>
      <c r="R28" s="63">
        <v>10209</v>
      </c>
      <c r="S28" s="63">
        <v>9487</v>
      </c>
      <c r="T28" s="63">
        <v>7354</v>
      </c>
      <c r="U28" s="63">
        <v>6748</v>
      </c>
      <c r="V28" s="63">
        <v>4579</v>
      </c>
      <c r="W28" s="63">
        <v>5492</v>
      </c>
      <c r="X28" s="63">
        <v>4817.8596269660957</v>
      </c>
      <c r="Y28" s="63">
        <v>4144.7467969465642</v>
      </c>
      <c r="Z28" s="64"/>
      <c r="AA28" s="65" t="s">
        <v>216</v>
      </c>
      <c r="AB28" s="60">
        <v>142943.34</v>
      </c>
      <c r="AC28" s="60">
        <v>156377.73000000001</v>
      </c>
      <c r="AD28" s="94">
        <f t="shared" si="0"/>
        <v>152492.84</v>
      </c>
      <c r="AE28" s="98">
        <f t="shared" si="1"/>
        <v>3934.8446196820114</v>
      </c>
      <c r="AF28" s="104">
        <f t="shared" si="2"/>
        <v>2.580347129532122E-2</v>
      </c>
    </row>
    <row r="29" spans="1:181" ht="15" customHeight="1">
      <c r="A29" s="45" t="s">
        <v>217</v>
      </c>
      <c r="B29" s="46" t="s">
        <v>218</v>
      </c>
      <c r="C29" s="60">
        <v>54682.18</v>
      </c>
      <c r="D29" s="50" t="e">
        <f>(#REF!-E29)</f>
        <v>#REF!</v>
      </c>
      <c r="E29" s="51">
        <f>'[1]10-11 for 12-13 Asmt'!AW29</f>
        <v>71828.09</v>
      </c>
      <c r="F29" s="61"/>
      <c r="G29" s="61"/>
      <c r="H29" s="62"/>
      <c r="I29" s="63"/>
      <c r="J29" s="62"/>
      <c r="K29" s="62">
        <v>1992</v>
      </c>
      <c r="L29" s="62">
        <v>2093.3869999999997</v>
      </c>
      <c r="M29" s="62">
        <v>1803</v>
      </c>
      <c r="N29" s="64">
        <v>1000</v>
      </c>
      <c r="O29" s="64">
        <v>750</v>
      </c>
      <c r="P29" s="64">
        <v>750</v>
      </c>
      <c r="Q29" s="64">
        <v>1500</v>
      </c>
      <c r="R29" s="63">
        <v>1500</v>
      </c>
      <c r="S29" s="63">
        <v>2000</v>
      </c>
      <c r="T29" s="63">
        <v>1000</v>
      </c>
      <c r="U29" s="63">
        <v>1100</v>
      </c>
      <c r="V29" s="63">
        <v>5205</v>
      </c>
      <c r="W29" s="63">
        <v>4335</v>
      </c>
      <c r="X29" s="63">
        <v>3207.3323081111776</v>
      </c>
      <c r="Y29" s="63">
        <v>3427.485170830962</v>
      </c>
      <c r="Z29" s="64"/>
      <c r="AA29" s="65" t="s">
        <v>218</v>
      </c>
      <c r="AB29" s="60">
        <v>48571.76</v>
      </c>
      <c r="AC29" s="60">
        <v>48713.24</v>
      </c>
      <c r="AD29" s="94">
        <f t="shared" si="0"/>
        <v>50655.726666666662</v>
      </c>
      <c r="AE29" s="98">
        <f t="shared" si="1"/>
        <v>1307.0935889869709</v>
      </c>
      <c r="AF29" s="104">
        <f t="shared" si="2"/>
        <v>2.580347129532122E-2</v>
      </c>
    </row>
    <row r="30" spans="1:181" s="58" customFormat="1" ht="15" customHeight="1">
      <c r="A30" s="45" t="s">
        <v>220</v>
      </c>
      <c r="B30" s="46" t="s">
        <v>221</v>
      </c>
      <c r="C30" s="48">
        <v>432628.19</v>
      </c>
      <c r="D30" s="50" t="e">
        <f>(#REF!-E30)</f>
        <v>#REF!</v>
      </c>
      <c r="E30" s="51">
        <f>'[1]10-11 for 12-13 Asmt'!AW30</f>
        <v>283438.53999999998</v>
      </c>
      <c r="F30" s="54" t="s">
        <v>222</v>
      </c>
      <c r="G30" s="54" t="s">
        <v>223</v>
      </c>
      <c r="H30" s="57"/>
      <c r="I30" s="56"/>
      <c r="J30" s="57"/>
      <c r="K30" s="57">
        <f t="shared" ref="K30:K51" si="4">SUM(I30:J30)</f>
        <v>0</v>
      </c>
      <c r="L30" s="57">
        <v>45882.300146282432</v>
      </c>
      <c r="M30" s="57">
        <v>46601</v>
      </c>
      <c r="N30" s="57">
        <v>44902.853249701337</v>
      </c>
      <c r="O30" s="57">
        <v>45327</v>
      </c>
      <c r="P30" s="57">
        <v>35395</v>
      </c>
      <c r="Q30" s="57">
        <v>39066.582112648328</v>
      </c>
      <c r="R30" s="56">
        <v>35060</v>
      </c>
      <c r="S30" s="56">
        <v>28721</v>
      </c>
      <c r="T30" s="56">
        <v>25949</v>
      </c>
      <c r="U30" s="56">
        <v>33597</v>
      </c>
      <c r="V30" s="56">
        <v>29103</v>
      </c>
      <c r="W30" s="56">
        <v>24629</v>
      </c>
      <c r="X30" s="56">
        <v>27826.9992812411</v>
      </c>
      <c r="Y30" s="56">
        <v>30104.460987115275</v>
      </c>
      <c r="Z30" s="57"/>
      <c r="AA30" s="46" t="s">
        <v>224</v>
      </c>
      <c r="AB30" s="48">
        <v>475361.74</v>
      </c>
      <c r="AC30" s="48">
        <v>686193.18</v>
      </c>
      <c r="AD30" s="94">
        <f t="shared" si="0"/>
        <v>531394.37</v>
      </c>
      <c r="AE30" s="98">
        <f t="shared" si="1"/>
        <v>13711.819372790302</v>
      </c>
      <c r="AF30" s="104">
        <f t="shared" si="2"/>
        <v>2.5803471295321217E-2</v>
      </c>
    </row>
    <row r="31" spans="1:181" ht="15" customHeight="1">
      <c r="A31" s="45" t="s">
        <v>225</v>
      </c>
      <c r="B31" s="68" t="s">
        <v>226</v>
      </c>
      <c r="C31" s="60">
        <v>207397.74</v>
      </c>
      <c r="D31" s="50" t="e">
        <f>(#REF!-E31)</f>
        <v>#REF!</v>
      </c>
      <c r="E31" s="51">
        <f>'[1]10-11 for 12-13 Asmt'!AW31</f>
        <v>162052.58999999997</v>
      </c>
      <c r="F31" s="69" t="s">
        <v>228</v>
      </c>
      <c r="G31" s="61" t="s">
        <v>229</v>
      </c>
      <c r="H31" s="64"/>
      <c r="I31" s="63"/>
      <c r="J31" s="64"/>
      <c r="K31" s="64">
        <f t="shared" si="4"/>
        <v>0</v>
      </c>
      <c r="L31" s="64">
        <v>21666.950415323827</v>
      </c>
      <c r="M31" s="64">
        <v>19253</v>
      </c>
      <c r="N31" s="64">
        <v>14756.369383367219</v>
      </c>
      <c r="O31" s="64">
        <v>14430</v>
      </c>
      <c r="P31" s="64">
        <v>15320</v>
      </c>
      <c r="Q31" s="64">
        <v>17923.830435810378</v>
      </c>
      <c r="R31" s="63">
        <v>12553</v>
      </c>
      <c r="S31" s="63">
        <v>14904</v>
      </c>
      <c r="T31" s="63">
        <v>11993</v>
      </c>
      <c r="U31" s="63">
        <v>14657</v>
      </c>
      <c r="V31" s="63">
        <v>8654</v>
      </c>
      <c r="W31" s="63">
        <v>13909</v>
      </c>
      <c r="X31" s="63">
        <v>12488.893963087949</v>
      </c>
      <c r="Y31" s="63">
        <v>10063.400770813038</v>
      </c>
      <c r="Z31" s="64"/>
      <c r="AA31" s="65" t="s">
        <v>230</v>
      </c>
      <c r="AB31" s="60">
        <v>212017.81</v>
      </c>
      <c r="AC31" s="60">
        <v>195164.92</v>
      </c>
      <c r="AD31" s="94">
        <f t="shared" si="0"/>
        <v>204860.15666666665</v>
      </c>
      <c r="AE31" s="98">
        <f t="shared" si="1"/>
        <v>5286.1031721033405</v>
      </c>
      <c r="AF31" s="104">
        <f t="shared" si="2"/>
        <v>2.5803471295321217E-2</v>
      </c>
    </row>
    <row r="32" spans="1:181" ht="15" customHeight="1">
      <c r="A32" s="45" t="s">
        <v>225</v>
      </c>
      <c r="B32" s="46" t="s">
        <v>231</v>
      </c>
      <c r="C32" s="60">
        <v>187762.58</v>
      </c>
      <c r="D32" s="50" t="e">
        <f>(#REF!-E32)</f>
        <v>#REF!</v>
      </c>
      <c r="E32" s="51">
        <f>'[1]10-11 for 12-13 Asmt'!AW32</f>
        <v>97778.91</v>
      </c>
      <c r="F32" s="54"/>
      <c r="G32" s="61"/>
      <c r="H32" s="64"/>
      <c r="I32" s="63"/>
      <c r="J32" s="64"/>
      <c r="K32" s="64">
        <f t="shared" si="4"/>
        <v>0</v>
      </c>
      <c r="L32" s="64">
        <v>14011.104973308515</v>
      </c>
      <c r="M32" s="64">
        <v>15542</v>
      </c>
      <c r="N32" s="64">
        <v>16210.121160110779</v>
      </c>
      <c r="O32" s="64">
        <v>11830</v>
      </c>
      <c r="P32" s="64">
        <v>10952</v>
      </c>
      <c r="Q32" s="64">
        <v>13478.499207869141</v>
      </c>
      <c r="R32" s="63">
        <v>12813</v>
      </c>
      <c r="S32" s="63">
        <v>10627</v>
      </c>
      <c r="T32" s="63">
        <v>10420</v>
      </c>
      <c r="U32" s="63">
        <v>9799</v>
      </c>
      <c r="V32" s="63">
        <v>8526</v>
      </c>
      <c r="W32" s="63">
        <v>8184</v>
      </c>
      <c r="X32" s="63">
        <v>3485.7311867883827</v>
      </c>
      <c r="Y32" s="63">
        <v>4820.7370193699153</v>
      </c>
      <c r="Z32" s="64"/>
      <c r="AA32" s="70" t="s">
        <v>234</v>
      </c>
      <c r="AB32" s="89">
        <v>184303.79</v>
      </c>
      <c r="AC32" s="89">
        <v>173084.67</v>
      </c>
      <c r="AD32" s="94">
        <f t="shared" si="0"/>
        <v>181717.01333333334</v>
      </c>
      <c r="AE32" s="98">
        <f t="shared" si="1"/>
        <v>4688.9297374181697</v>
      </c>
      <c r="AF32" s="104">
        <f t="shared" si="2"/>
        <v>2.5803471295321217E-2</v>
      </c>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1"/>
      <c r="ET32" s="71"/>
      <c r="EU32" s="71"/>
      <c r="EV32" s="71"/>
      <c r="EW32" s="71"/>
      <c r="EX32" s="71"/>
      <c r="EY32" s="71"/>
      <c r="EZ32" s="71"/>
      <c r="FA32" s="71"/>
      <c r="FB32" s="71"/>
      <c r="FC32" s="71"/>
      <c r="FD32" s="71"/>
      <c r="FE32" s="71"/>
      <c r="FF32" s="71"/>
      <c r="FG32" s="71"/>
      <c r="FH32" s="71"/>
      <c r="FI32" s="71"/>
      <c r="FJ32" s="71"/>
      <c r="FK32" s="71"/>
      <c r="FL32" s="71"/>
      <c r="FM32" s="71"/>
      <c r="FN32" s="71"/>
      <c r="FO32" s="71"/>
      <c r="FP32" s="71"/>
      <c r="FQ32" s="71"/>
      <c r="FR32" s="71"/>
      <c r="FS32" s="71"/>
      <c r="FT32" s="71"/>
      <c r="FU32" s="71"/>
      <c r="FV32" s="71"/>
      <c r="FW32" s="71"/>
      <c r="FX32" s="71"/>
      <c r="FY32" s="71"/>
    </row>
    <row r="33" spans="1:32" ht="15" customHeight="1">
      <c r="A33" s="45" t="s">
        <v>225</v>
      </c>
      <c r="B33" s="46" t="s">
        <v>235</v>
      </c>
      <c r="C33" s="60">
        <v>62388.19</v>
      </c>
      <c r="D33" s="50" t="e">
        <f>(#REF!-E33)</f>
        <v>#REF!</v>
      </c>
      <c r="E33" s="51">
        <f>'[1]10-11 for 12-13 Asmt'!AW33</f>
        <v>62047.51</v>
      </c>
      <c r="F33" s="61"/>
      <c r="G33" s="61" t="s">
        <v>236</v>
      </c>
      <c r="H33" s="72"/>
      <c r="I33" s="73"/>
      <c r="J33" s="72"/>
      <c r="K33" s="72">
        <f t="shared" si="4"/>
        <v>0</v>
      </c>
      <c r="L33" s="62">
        <v>2892.2785000000003</v>
      </c>
      <c r="M33" s="64">
        <v>10400</v>
      </c>
      <c r="N33" s="64">
        <v>9153.0319527786087</v>
      </c>
      <c r="O33" s="64">
        <v>6538</v>
      </c>
      <c r="P33" s="64">
        <v>6444</v>
      </c>
      <c r="Q33" s="64">
        <v>6823.0029882796798</v>
      </c>
      <c r="R33" s="63">
        <v>6280</v>
      </c>
      <c r="S33" s="63">
        <v>5324</v>
      </c>
      <c r="T33" s="63">
        <v>6855</v>
      </c>
      <c r="U33" s="63">
        <v>8749</v>
      </c>
      <c r="V33" s="63">
        <v>6762</v>
      </c>
      <c r="W33" s="63">
        <v>6489</v>
      </c>
      <c r="X33" s="63">
        <v>7032.3120944774264</v>
      </c>
      <c r="Y33" s="63">
        <v>5839.0066936216826</v>
      </c>
      <c r="Z33" s="64"/>
      <c r="AA33" s="65" t="s">
        <v>237</v>
      </c>
      <c r="AB33" s="60">
        <v>72699.55</v>
      </c>
      <c r="AC33" s="60">
        <v>70628.759999999995</v>
      </c>
      <c r="AD33" s="94">
        <f t="shared" si="0"/>
        <v>68572.166666666672</v>
      </c>
      <c r="AE33" s="98">
        <f t="shared" si="1"/>
        <v>1769.399934241316</v>
      </c>
      <c r="AF33" s="104">
        <f t="shared" si="2"/>
        <v>2.580347129532122E-2</v>
      </c>
    </row>
    <row r="34" spans="1:32" s="58" customFormat="1" ht="15" customHeight="1">
      <c r="A34" s="45" t="s">
        <v>238</v>
      </c>
      <c r="B34" s="46" t="s">
        <v>239</v>
      </c>
      <c r="C34" s="48">
        <v>70926</v>
      </c>
      <c r="D34" s="50" t="e">
        <f>(#REF!-E34)</f>
        <v>#REF!</v>
      </c>
      <c r="E34" s="51">
        <f>'[1]10-11 for 12-13 Asmt'!AW34</f>
        <v>56817.65</v>
      </c>
      <c r="F34" s="48"/>
      <c r="G34" s="54" t="s">
        <v>241</v>
      </c>
      <c r="H34" s="57"/>
      <c r="I34" s="56"/>
      <c r="J34" s="57"/>
      <c r="K34" s="57">
        <f t="shared" si="4"/>
        <v>0</v>
      </c>
      <c r="L34" s="57">
        <v>2633.8415000000005</v>
      </c>
      <c r="M34" s="57">
        <v>10988</v>
      </c>
      <c r="N34" s="57">
        <v>11106.268690596087</v>
      </c>
      <c r="O34" s="57">
        <v>8473</v>
      </c>
      <c r="P34" s="57">
        <v>8307</v>
      </c>
      <c r="Q34" s="57">
        <v>9187.1706215640588</v>
      </c>
      <c r="R34" s="56">
        <v>8348</v>
      </c>
      <c r="S34" s="56">
        <v>6863</v>
      </c>
      <c r="T34" s="56">
        <v>7315</v>
      </c>
      <c r="U34" s="56">
        <v>7155</v>
      </c>
      <c r="V34" s="56">
        <v>6187</v>
      </c>
      <c r="W34" s="56">
        <v>5231</v>
      </c>
      <c r="X34" s="56">
        <v>2934.4277719957445</v>
      </c>
      <c r="Y34" s="56">
        <v>2776.9385691142129</v>
      </c>
      <c r="Z34" s="57"/>
      <c r="AA34" s="46" t="s">
        <v>239</v>
      </c>
      <c r="AB34" s="48">
        <v>59081</v>
      </c>
      <c r="AC34" s="48">
        <v>58168</v>
      </c>
      <c r="AD34" s="94">
        <f t="shared" si="0"/>
        <v>62725</v>
      </c>
      <c r="AE34" s="98">
        <f t="shared" si="1"/>
        <v>1618.5227369990234</v>
      </c>
      <c r="AF34" s="104">
        <f t="shared" si="2"/>
        <v>2.580347129532122E-2</v>
      </c>
    </row>
    <row r="35" spans="1:32" s="58" customFormat="1" ht="15" customHeight="1">
      <c r="A35" s="45" t="s">
        <v>242</v>
      </c>
      <c r="B35" s="46" t="s">
        <v>243</v>
      </c>
      <c r="C35" s="48">
        <v>51462.45</v>
      </c>
      <c r="D35" s="50" t="e">
        <f>(#REF!-E35)</f>
        <v>#REF!</v>
      </c>
      <c r="E35" s="51">
        <f>'[1]10-11 for 12-13 Asmt'!AW35</f>
        <v>61183.429999999993</v>
      </c>
      <c r="F35" s="48"/>
      <c r="G35" s="54" t="s">
        <v>245</v>
      </c>
      <c r="H35" s="57"/>
      <c r="I35" s="56"/>
      <c r="J35" s="57"/>
      <c r="K35" s="57">
        <f t="shared" si="4"/>
        <v>0</v>
      </c>
      <c r="L35" s="57">
        <v>2971.8924999999999</v>
      </c>
      <c r="M35" s="57">
        <v>10318</v>
      </c>
      <c r="N35" s="57">
        <v>9657.8857456291316</v>
      </c>
      <c r="O35" s="57">
        <v>8040</v>
      </c>
      <c r="P35" s="57">
        <v>7472</v>
      </c>
      <c r="Q35" s="57">
        <v>7700.7508312043601</v>
      </c>
      <c r="R35" s="56">
        <v>6472</v>
      </c>
      <c r="S35" s="56">
        <v>5389</v>
      </c>
      <c r="T35" s="56">
        <v>5059</v>
      </c>
      <c r="U35" s="56">
        <v>5317</v>
      </c>
      <c r="V35" s="56">
        <v>4238</v>
      </c>
      <c r="W35" s="56">
        <v>4600</v>
      </c>
      <c r="X35" s="56">
        <v>6395.2930006503793</v>
      </c>
      <c r="Y35" s="56">
        <v>4506.0639593953601</v>
      </c>
      <c r="Z35" s="57"/>
      <c r="AA35" s="46" t="s">
        <v>246</v>
      </c>
      <c r="AB35" s="48">
        <v>55800.26</v>
      </c>
      <c r="AC35" s="48">
        <v>61779.6</v>
      </c>
      <c r="AD35" s="94">
        <f t="shared" si="0"/>
        <v>56347.436666666668</v>
      </c>
      <c r="AE35" s="98">
        <f t="shared" si="1"/>
        <v>1453.9594645932639</v>
      </c>
      <c r="AF35" s="104">
        <f t="shared" si="2"/>
        <v>2.580347129532122E-2</v>
      </c>
    </row>
    <row r="36" spans="1:32" s="58" customFormat="1" ht="15" customHeight="1">
      <c r="A36" s="45" t="s">
        <v>242</v>
      </c>
      <c r="B36" s="46" t="s">
        <v>247</v>
      </c>
      <c r="C36" s="48">
        <v>71991.899999999994</v>
      </c>
      <c r="D36" s="50" t="e">
        <f>(#REF!-E36)</f>
        <v>#REF!</v>
      </c>
      <c r="E36" s="51">
        <f>'[1]10-11 for 12-13 Asmt'!AW36</f>
        <v>62874.520000000004</v>
      </c>
      <c r="F36" s="54" t="s">
        <v>249</v>
      </c>
      <c r="G36" s="54" t="s">
        <v>250</v>
      </c>
      <c r="H36" s="57"/>
      <c r="I36" s="57"/>
      <c r="J36" s="57"/>
      <c r="K36" s="57">
        <f t="shared" si="4"/>
        <v>0</v>
      </c>
      <c r="L36" s="57">
        <v>2511.2059999999997</v>
      </c>
      <c r="M36" s="57">
        <v>2081</v>
      </c>
      <c r="N36" s="57">
        <v>8000</v>
      </c>
      <c r="O36" s="57">
        <v>4000</v>
      </c>
      <c r="P36" s="57">
        <v>2000</v>
      </c>
      <c r="Q36" s="57">
        <v>1000</v>
      </c>
      <c r="R36" s="56">
        <v>2000</v>
      </c>
      <c r="S36" s="56">
        <v>1000</v>
      </c>
      <c r="T36" s="56">
        <v>4873</v>
      </c>
      <c r="U36" s="56">
        <v>5647</v>
      </c>
      <c r="V36" s="56">
        <v>5260</v>
      </c>
      <c r="W36" s="56">
        <v>5459</v>
      </c>
      <c r="X36" s="56">
        <v>5841.3629261191682</v>
      </c>
      <c r="Y36" s="56">
        <v>5359.692996998112</v>
      </c>
      <c r="Z36" s="57"/>
      <c r="AA36" s="46" t="s">
        <v>251</v>
      </c>
      <c r="AB36" s="48">
        <v>88962.209999999992</v>
      </c>
      <c r="AC36" s="48">
        <v>110215.26</v>
      </c>
      <c r="AD36" s="94">
        <f t="shared" si="0"/>
        <v>90389.79</v>
      </c>
      <c r="AE36" s="98">
        <f t="shared" si="1"/>
        <v>2332.3703516551127</v>
      </c>
      <c r="AF36" s="104">
        <f t="shared" si="2"/>
        <v>2.5803471295321217E-2</v>
      </c>
    </row>
    <row r="37" spans="1:32" ht="15" customHeight="1">
      <c r="A37" s="45" t="s">
        <v>252</v>
      </c>
      <c r="B37" s="46" t="s">
        <v>253</v>
      </c>
      <c r="C37" s="60">
        <v>47160.46</v>
      </c>
      <c r="D37" s="50" t="e">
        <f>(#REF!-E37)</f>
        <v>#REF!</v>
      </c>
      <c r="E37" s="51">
        <f>'[1]10-11 for 12-13 Asmt'!AW37</f>
        <v>54995.94</v>
      </c>
      <c r="F37" s="61"/>
      <c r="G37" s="61"/>
      <c r="H37" s="72"/>
      <c r="I37" s="73"/>
      <c r="J37" s="72"/>
      <c r="K37" s="72">
        <f t="shared" si="4"/>
        <v>0</v>
      </c>
      <c r="L37" s="62">
        <v>2726.11</v>
      </c>
      <c r="M37" s="64">
        <v>2835</v>
      </c>
      <c r="N37" s="64">
        <v>9063.6503298914067</v>
      </c>
      <c r="O37" s="64">
        <v>8788</v>
      </c>
      <c r="P37" s="64">
        <v>8788</v>
      </c>
      <c r="Q37" s="64">
        <v>9114.5225325396586</v>
      </c>
      <c r="R37" s="63">
        <v>8674</v>
      </c>
      <c r="S37" s="63">
        <v>6906</v>
      </c>
      <c r="T37" s="63">
        <v>7674</v>
      </c>
      <c r="U37" s="63">
        <v>7584</v>
      </c>
      <c r="V37" s="63">
        <v>6019</v>
      </c>
      <c r="W37" s="63">
        <v>5878</v>
      </c>
      <c r="X37" s="63">
        <v>5415.5366210664733</v>
      </c>
      <c r="Y37" s="63">
        <v>5803.8027123859256</v>
      </c>
      <c r="Z37" s="64"/>
      <c r="AA37" s="65" t="s">
        <v>253</v>
      </c>
      <c r="AB37" s="60">
        <v>52308.85</v>
      </c>
      <c r="AC37" s="60">
        <v>47426.19</v>
      </c>
      <c r="AD37" s="94">
        <f t="shared" si="0"/>
        <v>48965.166666666664</v>
      </c>
      <c r="AE37" s="98">
        <f t="shared" si="1"/>
        <v>1263.4712725539528</v>
      </c>
      <c r="AF37" s="104">
        <f t="shared" si="2"/>
        <v>2.580347129532122E-2</v>
      </c>
    </row>
    <row r="38" spans="1:32" ht="15" customHeight="1">
      <c r="A38" s="45" t="s">
        <v>255</v>
      </c>
      <c r="B38" s="46" t="s">
        <v>256</v>
      </c>
      <c r="C38" s="60">
        <v>110639.92</v>
      </c>
      <c r="D38" s="50" t="e">
        <f>(#REF!-E38)</f>
        <v>#REF!</v>
      </c>
      <c r="E38" s="51">
        <f>'[1]10-11 for 12-13 Asmt'!AW38</f>
        <v>162329.15999999997</v>
      </c>
      <c r="F38" s="61"/>
      <c r="G38" s="61"/>
      <c r="H38" s="64"/>
      <c r="I38" s="63"/>
      <c r="J38" s="64"/>
      <c r="K38" s="64">
        <f t="shared" si="4"/>
        <v>0</v>
      </c>
      <c r="L38" s="64">
        <v>25355.30887853666</v>
      </c>
      <c r="M38" s="64">
        <v>19067</v>
      </c>
      <c r="N38" s="64">
        <v>18573.707136807032</v>
      </c>
      <c r="O38" s="64">
        <v>8296</v>
      </c>
      <c r="P38" s="64">
        <v>16011</v>
      </c>
      <c r="Q38" s="64">
        <v>16237.804288786858</v>
      </c>
      <c r="R38" s="63">
        <v>11252</v>
      </c>
      <c r="S38" s="63">
        <v>13231</v>
      </c>
      <c r="T38" s="63">
        <v>8273</v>
      </c>
      <c r="U38" s="63">
        <v>12666</v>
      </c>
      <c r="V38" s="63">
        <v>11205</v>
      </c>
      <c r="W38" s="63">
        <v>6142</v>
      </c>
      <c r="X38" s="63">
        <v>7755.6494250504447</v>
      </c>
      <c r="Y38" s="63">
        <v>5912.6461353747682</v>
      </c>
      <c r="Z38" s="64"/>
      <c r="AA38" s="65" t="s">
        <v>256</v>
      </c>
      <c r="AB38" s="60">
        <v>119499.25</v>
      </c>
      <c r="AC38" s="60">
        <v>137146.57999999999</v>
      </c>
      <c r="AD38" s="94">
        <f t="shared" si="0"/>
        <v>122428.58333333333</v>
      </c>
      <c r="AE38" s="98">
        <f t="shared" si="1"/>
        <v>3159.0824357685083</v>
      </c>
      <c r="AF38" s="104">
        <f t="shared" si="2"/>
        <v>2.5803471295321217E-2</v>
      </c>
    </row>
    <row r="39" spans="1:32" s="58" customFormat="1" ht="15" customHeight="1">
      <c r="A39" s="45" t="s">
        <v>255</v>
      </c>
      <c r="B39" s="46" t="s">
        <v>258</v>
      </c>
      <c r="C39" s="48">
        <v>53806.44</v>
      </c>
      <c r="D39" s="50" t="e">
        <f>(#REF!-E39)</f>
        <v>#REF!</v>
      </c>
      <c r="E39" s="51">
        <f>'[1]10-11 for 12-13 Asmt'!AW39</f>
        <v>44013.110000000008</v>
      </c>
      <c r="F39" s="54" t="s">
        <v>260</v>
      </c>
      <c r="G39" s="54" t="s">
        <v>261</v>
      </c>
      <c r="H39" s="57"/>
      <c r="I39" s="56"/>
      <c r="J39" s="57"/>
      <c r="K39" s="57">
        <f t="shared" si="4"/>
        <v>0</v>
      </c>
      <c r="L39" s="57">
        <v>2388.4435000000003</v>
      </c>
      <c r="M39" s="57">
        <v>1901</v>
      </c>
      <c r="N39" s="57">
        <v>6747.1608930760567</v>
      </c>
      <c r="O39" s="57">
        <v>5093</v>
      </c>
      <c r="P39" s="57">
        <v>5080</v>
      </c>
      <c r="Q39" s="57">
        <v>4000</v>
      </c>
      <c r="R39" s="56">
        <v>2000</v>
      </c>
      <c r="S39" s="56">
        <v>2000</v>
      </c>
      <c r="T39" s="56">
        <v>1000</v>
      </c>
      <c r="U39" s="56">
        <v>4650</v>
      </c>
      <c r="V39" s="56">
        <v>1101</v>
      </c>
      <c r="W39" s="56">
        <v>4632</v>
      </c>
      <c r="X39" s="56">
        <v>3668.2200937192079</v>
      </c>
      <c r="Y39" s="56">
        <v>2911.1089803679529</v>
      </c>
      <c r="Z39" s="57"/>
      <c r="AA39" s="46" t="s">
        <v>258</v>
      </c>
      <c r="AB39" s="48">
        <v>50777.11</v>
      </c>
      <c r="AC39" s="48">
        <v>48190.74</v>
      </c>
      <c r="AD39" s="94">
        <f t="shared" si="0"/>
        <v>50924.763333333336</v>
      </c>
      <c r="AE39" s="98">
        <f t="shared" si="1"/>
        <v>1314.0356688926931</v>
      </c>
      <c r="AF39" s="104">
        <f t="shared" si="2"/>
        <v>2.5803471295321217E-2</v>
      </c>
    </row>
    <row r="40" spans="1:32" ht="15" customHeight="1">
      <c r="A40" s="45" t="s">
        <v>262</v>
      </c>
      <c r="B40" s="46" t="s">
        <v>263</v>
      </c>
      <c r="C40" s="60">
        <v>120020.02</v>
      </c>
      <c r="D40" s="50" t="e">
        <f>(#REF!-E40)</f>
        <v>#REF!</v>
      </c>
      <c r="E40" s="51">
        <f>'[1]10-11 for 12-13 Asmt'!AW40</f>
        <v>79401.249999999985</v>
      </c>
      <c r="F40" s="61"/>
      <c r="G40" s="60"/>
      <c r="H40" s="64"/>
      <c r="I40" s="63"/>
      <c r="J40" s="64"/>
      <c r="K40" s="64">
        <f t="shared" si="4"/>
        <v>0</v>
      </c>
      <c r="L40" s="64">
        <v>14654.01302328266</v>
      </c>
      <c r="M40" s="64">
        <v>16530</v>
      </c>
      <c r="N40" s="64">
        <v>17520.125949628993</v>
      </c>
      <c r="O40" s="64">
        <v>17900</v>
      </c>
      <c r="P40" s="64">
        <v>16722</v>
      </c>
      <c r="Q40" s="64">
        <v>15972.601073529238</v>
      </c>
      <c r="R40" s="63">
        <v>14508</v>
      </c>
      <c r="S40" s="63">
        <v>12734</v>
      </c>
      <c r="T40" s="63">
        <v>11136</v>
      </c>
      <c r="U40" s="63">
        <v>10991</v>
      </c>
      <c r="V40" s="63">
        <v>9455</v>
      </c>
      <c r="W40" s="63">
        <v>9446</v>
      </c>
      <c r="X40" s="63">
        <v>7051.1205030455321</v>
      </c>
      <c r="Y40" s="63">
        <v>8451.4491488950771</v>
      </c>
      <c r="Z40" s="64"/>
      <c r="AA40" s="65" t="s">
        <v>263</v>
      </c>
      <c r="AB40" s="60">
        <v>91484.68</v>
      </c>
      <c r="AC40" s="60">
        <v>90271.99</v>
      </c>
      <c r="AD40" s="94">
        <f t="shared" si="0"/>
        <v>100592.23</v>
      </c>
      <c r="AE40" s="98">
        <f t="shared" si="1"/>
        <v>2595.62871933735</v>
      </c>
      <c r="AF40" s="104">
        <f t="shared" si="2"/>
        <v>2.580347129532122E-2</v>
      </c>
    </row>
    <row r="41" spans="1:32" s="58" customFormat="1" ht="15" customHeight="1">
      <c r="A41" s="45" t="s">
        <v>264</v>
      </c>
      <c r="B41" s="46" t="s">
        <v>265</v>
      </c>
      <c r="C41" s="48">
        <v>44727.09</v>
      </c>
      <c r="D41" s="50" t="e">
        <f>(#REF!-E41)</f>
        <v>#REF!</v>
      </c>
      <c r="E41" s="51">
        <f>'[1]10-11 for 12-13 Asmt'!AW41</f>
        <v>58874</v>
      </c>
      <c r="F41" s="54" t="s">
        <v>267</v>
      </c>
      <c r="G41" s="54"/>
      <c r="H41" s="57"/>
      <c r="I41" s="57"/>
      <c r="J41" s="57"/>
      <c r="K41" s="57">
        <f t="shared" si="4"/>
        <v>0</v>
      </c>
      <c r="L41" s="57">
        <v>2929.93</v>
      </c>
      <c r="M41" s="57">
        <v>11097</v>
      </c>
      <c r="N41" s="57">
        <v>8235.9338463825188</v>
      </c>
      <c r="O41" s="57">
        <v>8000</v>
      </c>
      <c r="P41" s="57">
        <v>4000</v>
      </c>
      <c r="Q41" s="57">
        <v>2000</v>
      </c>
      <c r="R41" s="56">
        <v>1500</v>
      </c>
      <c r="S41" s="56">
        <v>7191</v>
      </c>
      <c r="T41" s="56">
        <v>5592</v>
      </c>
      <c r="U41" s="56">
        <v>7050</v>
      </c>
      <c r="V41" s="56">
        <v>5840</v>
      </c>
      <c r="W41" s="56">
        <v>5248</v>
      </c>
      <c r="X41" s="56">
        <v>5052.2840897952819</v>
      </c>
      <c r="Y41" s="56">
        <v>5028.97410208168</v>
      </c>
      <c r="Z41" s="57"/>
      <c r="AA41" s="46" t="s">
        <v>265</v>
      </c>
      <c r="AB41" s="48">
        <v>57070.59</v>
      </c>
      <c r="AC41" s="48">
        <v>55583.23</v>
      </c>
      <c r="AD41" s="94">
        <f t="shared" si="0"/>
        <v>52460.303333333337</v>
      </c>
      <c r="AE41" s="98">
        <f t="shared" si="1"/>
        <v>1353.657931205511</v>
      </c>
      <c r="AF41" s="104">
        <f t="shared" si="2"/>
        <v>2.580347129532122E-2</v>
      </c>
    </row>
    <row r="42" spans="1:32" ht="15" customHeight="1">
      <c r="A42" s="45" t="s">
        <v>268</v>
      </c>
      <c r="B42" s="46" t="s">
        <v>269</v>
      </c>
      <c r="C42" s="60">
        <v>89921.94</v>
      </c>
      <c r="D42" s="50" t="e">
        <f>(#REF!-E42)</f>
        <v>#REF!</v>
      </c>
      <c r="E42" s="51">
        <f>'[1]10-11 for 12-13 Asmt'!AW42</f>
        <v>83463.679999999993</v>
      </c>
      <c r="F42" s="61"/>
      <c r="G42" s="61" t="s">
        <v>270</v>
      </c>
      <c r="H42" s="64"/>
      <c r="I42" s="63"/>
      <c r="J42" s="64"/>
      <c r="K42" s="64">
        <f t="shared" si="4"/>
        <v>0</v>
      </c>
      <c r="L42" s="64">
        <v>11421.126752381035</v>
      </c>
      <c r="M42" s="64">
        <v>12395</v>
      </c>
      <c r="N42" s="64">
        <v>11622.502767475051</v>
      </c>
      <c r="O42" s="64">
        <v>9423</v>
      </c>
      <c r="P42" s="64">
        <v>8298</v>
      </c>
      <c r="Q42" s="64">
        <v>7409.7203251534993</v>
      </c>
      <c r="R42" s="63">
        <v>10143</v>
      </c>
      <c r="S42" s="63">
        <v>7212</v>
      </c>
      <c r="T42" s="63">
        <v>7569</v>
      </c>
      <c r="U42" s="63">
        <v>7515</v>
      </c>
      <c r="V42" s="63">
        <v>6429</v>
      </c>
      <c r="W42" s="63">
        <v>6470</v>
      </c>
      <c r="X42" s="63">
        <v>5858.4534303545088</v>
      </c>
      <c r="Y42" s="63">
        <v>6299.0240598628325</v>
      </c>
      <c r="Z42" s="64"/>
      <c r="AA42" s="65" t="s">
        <v>269</v>
      </c>
      <c r="AB42" s="60">
        <v>69685.539999999994</v>
      </c>
      <c r="AC42" s="60">
        <v>81363.520000000004</v>
      </c>
      <c r="AD42" s="94">
        <f t="shared" si="0"/>
        <v>80323.666666666672</v>
      </c>
      <c r="AE42" s="98">
        <f t="shared" si="1"/>
        <v>2072.6294271682832</v>
      </c>
      <c r="AF42" s="104">
        <f t="shared" si="2"/>
        <v>2.5803471295321217E-2</v>
      </c>
    </row>
    <row r="43" spans="1:32" ht="15" customHeight="1">
      <c r="A43" s="45" t="s">
        <v>271</v>
      </c>
      <c r="B43" s="46" t="s">
        <v>272</v>
      </c>
      <c r="C43" s="60">
        <v>68246.63</v>
      </c>
      <c r="D43" s="50" t="e">
        <f>(#REF!-E43)</f>
        <v>#REF!</v>
      </c>
      <c r="E43" s="51">
        <f>'[1]10-11 for 12-13 Asmt'!AW43</f>
        <v>64914.270000000004</v>
      </c>
      <c r="F43" s="61"/>
      <c r="H43" s="64"/>
      <c r="I43" s="63"/>
      <c r="J43" s="64"/>
      <c r="K43" s="64">
        <f t="shared" si="4"/>
        <v>0</v>
      </c>
      <c r="L43" s="64">
        <v>4698</v>
      </c>
      <c r="M43" s="64">
        <v>2349</v>
      </c>
      <c r="N43" s="64">
        <v>1500</v>
      </c>
      <c r="O43" s="64">
        <v>5283</v>
      </c>
      <c r="P43" s="64">
        <v>4000</v>
      </c>
      <c r="Q43" s="64">
        <v>2000</v>
      </c>
      <c r="R43" s="63">
        <v>1000</v>
      </c>
      <c r="S43" s="63">
        <v>5326</v>
      </c>
      <c r="T43" s="63">
        <v>5728</v>
      </c>
      <c r="U43" s="63">
        <v>5082</v>
      </c>
      <c r="V43" s="63">
        <v>5008</v>
      </c>
      <c r="W43" s="63">
        <v>5027</v>
      </c>
      <c r="X43" s="63">
        <v>3011.5084301105558</v>
      </c>
      <c r="Y43" s="63">
        <v>2782.4950907662828</v>
      </c>
      <c r="Z43" s="64"/>
      <c r="AA43" s="65" t="s">
        <v>273</v>
      </c>
      <c r="AB43" s="60">
        <v>71993.45</v>
      </c>
      <c r="AC43" s="60">
        <v>71512.81</v>
      </c>
      <c r="AD43" s="94">
        <f t="shared" si="0"/>
        <v>70584.296666666676</v>
      </c>
      <c r="AE43" s="98">
        <f t="shared" si="1"/>
        <v>1821.3198729387709</v>
      </c>
      <c r="AF43" s="104">
        <f t="shared" si="2"/>
        <v>2.580347129532122E-2</v>
      </c>
    </row>
    <row r="44" spans="1:32" s="58" customFormat="1" ht="15" customHeight="1">
      <c r="A44" s="45" t="s">
        <v>271</v>
      </c>
      <c r="B44" s="46" t="s">
        <v>274</v>
      </c>
      <c r="C44" s="48">
        <v>68912.86</v>
      </c>
      <c r="D44" s="50" t="e">
        <f>(#REF!-E44)</f>
        <v>#REF!</v>
      </c>
      <c r="E44" s="51">
        <f>'[1]10-11 for 12-13 Asmt'!AW44</f>
        <v>38033.81</v>
      </c>
      <c r="F44" s="54" t="s">
        <v>275</v>
      </c>
      <c r="G44" s="54" t="s">
        <v>276</v>
      </c>
      <c r="H44" s="57"/>
      <c r="I44" s="56"/>
      <c r="J44" s="57"/>
      <c r="K44" s="57">
        <f t="shared" si="4"/>
        <v>0</v>
      </c>
      <c r="L44" s="57">
        <v>2467.1999999999998</v>
      </c>
      <c r="M44" s="57">
        <v>2115</v>
      </c>
      <c r="N44" s="57">
        <v>8374.2349529477488</v>
      </c>
      <c r="O44" s="57">
        <v>9131</v>
      </c>
      <c r="P44" s="57">
        <v>8891</v>
      </c>
      <c r="Q44" s="57">
        <v>9267.8970021998175</v>
      </c>
      <c r="R44" s="56">
        <v>9099</v>
      </c>
      <c r="S44" s="56">
        <v>6694</v>
      </c>
      <c r="T44" s="56">
        <v>8180</v>
      </c>
      <c r="U44" s="56">
        <v>6062</v>
      </c>
      <c r="V44" s="56">
        <v>1086</v>
      </c>
      <c r="W44" s="56">
        <v>1087</v>
      </c>
      <c r="X44" s="56">
        <v>4155.4519484187404</v>
      </c>
      <c r="Y44" s="56">
        <v>3967.2778594539946</v>
      </c>
      <c r="Z44" s="57"/>
      <c r="AA44" s="46" t="s">
        <v>274</v>
      </c>
      <c r="AB44" s="48">
        <v>65342.53</v>
      </c>
      <c r="AC44" s="48">
        <v>68365.47</v>
      </c>
      <c r="AD44" s="94">
        <f t="shared" si="0"/>
        <v>67540.286666666667</v>
      </c>
      <c r="AE44" s="98">
        <f t="shared" si="1"/>
        <v>1742.7738482810998</v>
      </c>
      <c r="AF44" s="104">
        <f t="shared" si="2"/>
        <v>2.580347129532122E-2</v>
      </c>
    </row>
    <row r="45" spans="1:32" s="58" customFormat="1" ht="15" customHeight="1">
      <c r="A45" s="45" t="s">
        <v>277</v>
      </c>
      <c r="B45" s="46" t="s">
        <v>278</v>
      </c>
      <c r="C45" s="48">
        <v>91519.47</v>
      </c>
      <c r="D45" s="50" t="e">
        <f>(#REF!-E45)</f>
        <v>#REF!</v>
      </c>
      <c r="E45" s="51">
        <f>'[1]10-11 for 12-13 Asmt'!AW45</f>
        <v>79374.22</v>
      </c>
      <c r="F45" s="54"/>
      <c r="G45" s="54" t="s">
        <v>280</v>
      </c>
      <c r="H45" s="57"/>
      <c r="I45" s="56"/>
      <c r="J45" s="57"/>
      <c r="K45" s="57">
        <f t="shared" si="4"/>
        <v>0</v>
      </c>
      <c r="L45" s="57">
        <v>11574.51683874831</v>
      </c>
      <c r="M45" s="57">
        <v>11971</v>
      </c>
      <c r="N45" s="57">
        <v>10794.476449094174</v>
      </c>
      <c r="O45" s="57">
        <v>10577</v>
      </c>
      <c r="P45" s="57">
        <v>9844</v>
      </c>
      <c r="Q45" s="57">
        <v>6740.3889508560387</v>
      </c>
      <c r="R45" s="56">
        <v>6233</v>
      </c>
      <c r="S45" s="56">
        <v>6764</v>
      </c>
      <c r="T45" s="56">
        <v>7041</v>
      </c>
      <c r="U45" s="56">
        <v>5828</v>
      </c>
      <c r="V45" s="56">
        <v>6548</v>
      </c>
      <c r="W45" s="56">
        <v>6997</v>
      </c>
      <c r="X45" s="56">
        <v>7093.0560603511585</v>
      </c>
      <c r="Y45" s="56">
        <v>8159.6094248720237</v>
      </c>
      <c r="Z45" s="57"/>
      <c r="AA45" s="46" t="s">
        <v>278</v>
      </c>
      <c r="AB45" s="48">
        <v>82514.429999999993</v>
      </c>
      <c r="AC45" s="48">
        <v>78730.25</v>
      </c>
      <c r="AD45" s="94">
        <f t="shared" si="0"/>
        <v>84254.71666666666</v>
      </c>
      <c r="AE45" s="98">
        <f t="shared" si="1"/>
        <v>2174.0641630037553</v>
      </c>
      <c r="AF45" s="104">
        <f t="shared" si="2"/>
        <v>2.5803471295321217E-2</v>
      </c>
    </row>
    <row r="46" spans="1:32" ht="15" customHeight="1">
      <c r="A46" s="45" t="s">
        <v>281</v>
      </c>
      <c r="B46" s="46" t="s">
        <v>197</v>
      </c>
      <c r="C46" s="60">
        <v>802737.03</v>
      </c>
      <c r="D46" s="50" t="e">
        <f>(#REF!-E46)</f>
        <v>#REF!</v>
      </c>
      <c r="E46" s="51">
        <f>'[1]10-11 for 12-13 Asmt'!AW46</f>
        <v>582281.03999999992</v>
      </c>
      <c r="F46" s="61"/>
      <c r="G46" s="61"/>
      <c r="H46" s="64"/>
      <c r="I46" s="63"/>
      <c r="J46" s="64"/>
      <c r="K46" s="64">
        <f t="shared" si="4"/>
        <v>0</v>
      </c>
      <c r="L46" s="64">
        <v>78526</v>
      </c>
      <c r="M46" s="64">
        <v>71576</v>
      </c>
      <c r="N46" s="64">
        <v>59079.692078715889</v>
      </c>
      <c r="O46" s="64">
        <v>60115</v>
      </c>
      <c r="P46" s="64">
        <v>51343</v>
      </c>
      <c r="Q46" s="64">
        <v>53508.584060745787</v>
      </c>
      <c r="R46" s="63">
        <v>54282</v>
      </c>
      <c r="S46" s="63">
        <v>43984</v>
      </c>
      <c r="T46" s="63">
        <v>53250</v>
      </c>
      <c r="U46" s="63">
        <v>47923</v>
      </c>
      <c r="V46" s="63">
        <v>47244</v>
      </c>
      <c r="W46" s="63">
        <v>48706</v>
      </c>
      <c r="X46" s="63">
        <v>45266.471740960398</v>
      </c>
      <c r="Y46" s="63">
        <v>34847.111319020158</v>
      </c>
      <c r="Z46" s="64"/>
      <c r="AA46" s="65" t="s">
        <v>197</v>
      </c>
      <c r="AB46" s="60">
        <v>777228.04</v>
      </c>
      <c r="AC46" s="60">
        <v>775655.23</v>
      </c>
      <c r="AD46" s="94">
        <f t="shared" si="0"/>
        <v>785206.7666666666</v>
      </c>
      <c r="AE46" s="98">
        <f t="shared" si="1"/>
        <v>20261.060264575317</v>
      </c>
      <c r="AF46" s="104">
        <f t="shared" si="2"/>
        <v>2.5803471295321217E-2</v>
      </c>
    </row>
    <row r="47" spans="1:32" s="58" customFormat="1" ht="15" customHeight="1">
      <c r="A47" s="45" t="s">
        <v>283</v>
      </c>
      <c r="B47" s="46" t="s">
        <v>284</v>
      </c>
      <c r="C47" s="48">
        <v>88794.93</v>
      </c>
      <c r="D47" s="50" t="e">
        <f>(#REF!-E47)</f>
        <v>#REF!</v>
      </c>
      <c r="E47" s="51">
        <f>'[1]10-11 for 12-13 Asmt'!AW47</f>
        <v>97374.450000000026</v>
      </c>
      <c r="F47" s="54"/>
      <c r="G47" s="54" t="s">
        <v>286</v>
      </c>
      <c r="H47" s="57"/>
      <c r="I47" s="56"/>
      <c r="J47" s="57"/>
      <c r="K47" s="57">
        <f t="shared" si="4"/>
        <v>0</v>
      </c>
      <c r="L47" s="57">
        <v>15644.752769492214</v>
      </c>
      <c r="M47" s="57">
        <v>20670</v>
      </c>
      <c r="N47" s="57">
        <v>16806.645091622591</v>
      </c>
      <c r="O47" s="57">
        <v>15869</v>
      </c>
      <c r="P47" s="57">
        <v>18140</v>
      </c>
      <c r="Q47" s="57">
        <v>17414.45363262168</v>
      </c>
      <c r="R47" s="56">
        <v>13037</v>
      </c>
      <c r="S47" s="56">
        <v>11482</v>
      </c>
      <c r="T47" s="56">
        <v>11387</v>
      </c>
      <c r="U47" s="56">
        <v>11834</v>
      </c>
      <c r="V47" s="56">
        <v>11750</v>
      </c>
      <c r="W47" s="56">
        <v>10365</v>
      </c>
      <c r="X47" s="56">
        <v>9857.6892177762329</v>
      </c>
      <c r="Y47" s="56">
        <v>7983.7264350378482</v>
      </c>
      <c r="Z47" s="57"/>
      <c r="AA47" s="46" t="s">
        <v>287</v>
      </c>
      <c r="AB47" s="48">
        <v>93729.44</v>
      </c>
      <c r="AC47" s="48">
        <v>90101.91</v>
      </c>
      <c r="AD47" s="94">
        <f t="shared" si="0"/>
        <v>90875.426666666681</v>
      </c>
      <c r="AE47" s="98">
        <f t="shared" si="1"/>
        <v>2344.9014634434025</v>
      </c>
      <c r="AF47" s="104">
        <f t="shared" si="2"/>
        <v>2.5803471295321224E-2</v>
      </c>
    </row>
    <row r="48" spans="1:32" ht="15" customHeight="1">
      <c r="A48" s="45" t="s">
        <v>288</v>
      </c>
      <c r="B48" s="46" t="s">
        <v>265</v>
      </c>
      <c r="C48" s="60">
        <v>538326.74</v>
      </c>
      <c r="D48" s="50" t="e">
        <f>(#REF!-E48)</f>
        <v>#REF!</v>
      </c>
      <c r="E48" s="51">
        <f>'[1]10-11 for 12-13 Asmt'!AW48</f>
        <v>533091.12</v>
      </c>
      <c r="F48" s="61"/>
      <c r="G48" s="61" t="s">
        <v>289</v>
      </c>
      <c r="H48" s="64"/>
      <c r="I48" s="63"/>
      <c r="J48" s="64"/>
      <c r="K48" s="64">
        <f t="shared" si="4"/>
        <v>0</v>
      </c>
      <c r="L48" s="64">
        <v>65877.520495027813</v>
      </c>
      <c r="M48" s="64">
        <v>63477</v>
      </c>
      <c r="N48" s="64">
        <v>63610.61724712867</v>
      </c>
      <c r="O48" s="64">
        <v>60824</v>
      </c>
      <c r="P48" s="64">
        <v>58203</v>
      </c>
      <c r="Q48" s="64">
        <v>51183.242166868033</v>
      </c>
      <c r="R48" s="63">
        <v>54778</v>
      </c>
      <c r="S48" s="63">
        <v>60381</v>
      </c>
      <c r="T48" s="63">
        <v>38286</v>
      </c>
      <c r="U48" s="63">
        <v>49498</v>
      </c>
      <c r="V48" s="63">
        <v>43648</v>
      </c>
      <c r="W48" s="63">
        <v>32730</v>
      </c>
      <c r="X48" s="63">
        <v>37797.506977975972</v>
      </c>
      <c r="Y48" s="63">
        <v>36830.148070379655</v>
      </c>
      <c r="Z48" s="64"/>
      <c r="AA48" s="65" t="s">
        <v>265</v>
      </c>
      <c r="AB48" s="60">
        <v>495432.21</v>
      </c>
      <c r="AC48" s="60">
        <v>499265.28000000003</v>
      </c>
      <c r="AD48" s="94">
        <f t="shared" si="0"/>
        <v>511008.07666666666</v>
      </c>
      <c r="AE48" s="98">
        <f t="shared" si="1"/>
        <v>13185.782237945637</v>
      </c>
      <c r="AF48" s="104">
        <f t="shared" si="2"/>
        <v>2.5803471295321217E-2</v>
      </c>
    </row>
    <row r="49" spans="1:32" ht="15" customHeight="1">
      <c r="A49" s="45" t="s">
        <v>290</v>
      </c>
      <c r="B49" s="46" t="s">
        <v>136</v>
      </c>
      <c r="C49" s="60">
        <v>898506.58</v>
      </c>
      <c r="D49" s="50" t="e">
        <f>(#REF!-E49)</f>
        <v>#REF!</v>
      </c>
      <c r="E49" s="51">
        <f>'[1]10-11 for 12-13 Asmt'!AW49</f>
        <v>537716.05999999982</v>
      </c>
      <c r="F49" s="61"/>
      <c r="G49" s="61"/>
      <c r="H49" s="64"/>
      <c r="I49" s="63"/>
      <c r="J49" s="64"/>
      <c r="K49" s="64">
        <f t="shared" si="4"/>
        <v>0</v>
      </c>
      <c r="L49" s="64">
        <v>81254.946866899249</v>
      </c>
      <c r="M49" s="64">
        <v>78636</v>
      </c>
      <c r="N49" s="64">
        <v>70347.963423915717</v>
      </c>
      <c r="O49" s="64">
        <v>62096</v>
      </c>
      <c r="P49" s="64">
        <v>61299</v>
      </c>
      <c r="Q49" s="64">
        <v>54746.57439803701</v>
      </c>
      <c r="R49" s="63">
        <v>42120</v>
      </c>
      <c r="S49" s="63">
        <v>40266</v>
      </c>
      <c r="T49" s="63">
        <v>37596</v>
      </c>
      <c r="U49" s="63">
        <v>34350</v>
      </c>
      <c r="V49" s="63">
        <v>34838</v>
      </c>
      <c r="W49" s="63">
        <v>29091</v>
      </c>
      <c r="X49" s="63">
        <v>27430.394565780032</v>
      </c>
      <c r="Y49" s="63">
        <v>31340.658378691718</v>
      </c>
      <c r="Z49" s="64"/>
      <c r="AA49" s="65" t="s">
        <v>136</v>
      </c>
      <c r="AB49" s="60">
        <v>880935.17</v>
      </c>
      <c r="AC49" s="60">
        <v>834201.1</v>
      </c>
      <c r="AD49" s="94">
        <f t="shared" si="0"/>
        <v>871214.28333333333</v>
      </c>
      <c r="AE49" s="98">
        <f t="shared" si="1"/>
        <v>22480.352752065512</v>
      </c>
      <c r="AF49" s="104">
        <f t="shared" si="2"/>
        <v>2.5803471295321217E-2</v>
      </c>
    </row>
    <row r="50" spans="1:32" s="58" customFormat="1" ht="15" customHeight="1">
      <c r="A50" s="45" t="s">
        <v>292</v>
      </c>
      <c r="B50" s="46" t="s">
        <v>293</v>
      </c>
      <c r="C50" s="48">
        <v>51396.51</v>
      </c>
      <c r="D50" s="50" t="e">
        <f>(#REF!-E50)</f>
        <v>#REF!</v>
      </c>
      <c r="E50" s="51">
        <f>'[1]10-11 for 12-13 Asmt'!AW50</f>
        <v>50392.41</v>
      </c>
      <c r="F50" s="54" t="s">
        <v>295</v>
      </c>
      <c r="G50" s="54" t="s">
        <v>296</v>
      </c>
      <c r="H50" s="57"/>
      <c r="I50" s="57"/>
      <c r="J50" s="57"/>
      <c r="K50" s="57">
        <f t="shared" si="4"/>
        <v>0</v>
      </c>
      <c r="L50" s="57">
        <v>2005.6540000000002</v>
      </c>
      <c r="M50" s="57">
        <v>1912</v>
      </c>
      <c r="N50" s="57">
        <v>6000</v>
      </c>
      <c r="O50" s="57">
        <v>3000</v>
      </c>
      <c r="P50" s="57">
        <v>1500</v>
      </c>
      <c r="Q50" s="57">
        <v>750</v>
      </c>
      <c r="R50" s="56">
        <v>1000</v>
      </c>
      <c r="S50" s="56">
        <v>1000</v>
      </c>
      <c r="T50" s="56">
        <v>1000</v>
      </c>
      <c r="U50" s="56">
        <v>1100</v>
      </c>
      <c r="V50" s="56">
        <v>1070</v>
      </c>
      <c r="W50" s="56">
        <v>1062</v>
      </c>
      <c r="X50" s="56">
        <v>1829.766097643073</v>
      </c>
      <c r="Y50" s="56">
        <v>1000</v>
      </c>
      <c r="Z50" s="57"/>
      <c r="AA50" s="46" t="s">
        <v>293</v>
      </c>
      <c r="AB50" s="48">
        <v>54148.23</v>
      </c>
      <c r="AC50" s="48">
        <v>50191.25</v>
      </c>
      <c r="AD50" s="94">
        <f t="shared" si="0"/>
        <v>51911.996666666666</v>
      </c>
      <c r="AE50" s="98">
        <f t="shared" si="1"/>
        <v>1339.5097158711442</v>
      </c>
      <c r="AF50" s="104">
        <f t="shared" si="2"/>
        <v>2.580347129532122E-2</v>
      </c>
    </row>
    <row r="51" spans="1:32" s="58" customFormat="1" ht="15" customHeight="1">
      <c r="A51" s="45" t="s">
        <v>297</v>
      </c>
      <c r="B51" s="46" t="s">
        <v>197</v>
      </c>
      <c r="C51" s="48">
        <v>492924.98</v>
      </c>
      <c r="D51" s="50" t="e">
        <f>(#REF!-E51)</f>
        <v>#REF!</v>
      </c>
      <c r="E51" s="51">
        <f>'[1]10-11 for 12-13 Asmt'!AW51</f>
        <v>389608.17000000004</v>
      </c>
      <c r="F51" s="48"/>
      <c r="G51" s="54" t="s">
        <v>299</v>
      </c>
      <c r="H51" s="57"/>
      <c r="I51" s="56"/>
      <c r="J51" s="57"/>
      <c r="K51" s="57">
        <f t="shared" si="4"/>
        <v>0</v>
      </c>
      <c r="L51" s="57">
        <v>33821.953895867817</v>
      </c>
      <c r="M51" s="57">
        <v>49069</v>
      </c>
      <c r="N51" s="57">
        <v>41199.408500133075</v>
      </c>
      <c r="O51" s="57">
        <v>37911</v>
      </c>
      <c r="P51" s="57">
        <v>40844</v>
      </c>
      <c r="Q51" s="57">
        <v>39857.74744169099</v>
      </c>
      <c r="R51" s="56">
        <v>29208</v>
      </c>
      <c r="S51" s="56">
        <v>20118</v>
      </c>
      <c r="T51" s="56">
        <v>25522</v>
      </c>
      <c r="U51" s="56">
        <v>21141</v>
      </c>
      <c r="V51" s="56">
        <v>18574</v>
      </c>
      <c r="W51" s="56">
        <v>19025</v>
      </c>
      <c r="X51" s="56">
        <v>10314.681283322559</v>
      </c>
      <c r="Y51" s="56">
        <v>7483.1121048760442</v>
      </c>
      <c r="Z51" s="57"/>
      <c r="AA51" s="46" t="s">
        <v>197</v>
      </c>
      <c r="AB51" s="48">
        <v>495042</v>
      </c>
      <c r="AC51" s="48">
        <v>515106.81</v>
      </c>
      <c r="AD51" s="94">
        <f t="shared" si="0"/>
        <v>501024.59666666668</v>
      </c>
      <c r="AE51" s="98">
        <f t="shared" si="1"/>
        <v>12928.173798338225</v>
      </c>
      <c r="AF51" s="104">
        <f t="shared" si="2"/>
        <v>2.5803471295321217E-2</v>
      </c>
    </row>
    <row r="52" spans="1:32" s="58" customFormat="1" ht="15" customHeight="1">
      <c r="A52" s="45" t="s">
        <v>297</v>
      </c>
      <c r="B52" s="46" t="s">
        <v>300</v>
      </c>
      <c r="C52" s="48">
        <v>33219.120000000003</v>
      </c>
      <c r="D52" s="50" t="e">
        <f>(#REF!-E52)</f>
        <v>#REF!</v>
      </c>
      <c r="E52" s="51">
        <f>'[1]10-11 for 12-13 Asmt'!AW52</f>
        <v>20561.349999999999</v>
      </c>
      <c r="F52" s="54" t="s">
        <v>232</v>
      </c>
      <c r="G52" s="54" t="s">
        <v>302</v>
      </c>
      <c r="H52" s="57"/>
      <c r="I52" s="56"/>
      <c r="J52" s="57"/>
      <c r="K52" s="57">
        <v>1541</v>
      </c>
      <c r="L52" s="57">
        <v>1450.4970000000003</v>
      </c>
      <c r="M52" s="57">
        <v>1322</v>
      </c>
      <c r="N52" s="57">
        <v>750</v>
      </c>
      <c r="O52" s="57">
        <v>1000</v>
      </c>
      <c r="P52" s="57">
        <v>1500</v>
      </c>
      <c r="Q52" s="57">
        <v>3000</v>
      </c>
      <c r="R52" s="56">
        <v>1500</v>
      </c>
      <c r="S52" s="56">
        <v>1000</v>
      </c>
      <c r="T52" s="56">
        <v>1000</v>
      </c>
      <c r="U52" s="56">
        <v>1100</v>
      </c>
      <c r="V52" s="56">
        <v>1096</v>
      </c>
      <c r="W52" s="56">
        <v>1076</v>
      </c>
      <c r="X52" s="56">
        <v>2159.8201584263174</v>
      </c>
      <c r="Y52" s="56">
        <v>1000</v>
      </c>
      <c r="Z52" s="57"/>
      <c r="AA52" s="46" t="s">
        <v>300</v>
      </c>
      <c r="AB52" s="48">
        <v>28226.11</v>
      </c>
      <c r="AC52" s="48">
        <v>23257.34</v>
      </c>
      <c r="AD52" s="94">
        <f t="shared" si="0"/>
        <v>28234.190000000002</v>
      </c>
      <c r="AE52" s="98">
        <f t="shared" si="1"/>
        <v>728.54011121164547</v>
      </c>
      <c r="AF52" s="104">
        <f t="shared" si="2"/>
        <v>2.580347129532122E-2</v>
      </c>
    </row>
    <row r="53" spans="1:32" ht="15" customHeight="1">
      <c r="A53" s="45" t="s">
        <v>303</v>
      </c>
      <c r="B53" s="46" t="s">
        <v>166</v>
      </c>
      <c r="C53" s="60">
        <v>504094.93</v>
      </c>
      <c r="D53" s="50" t="e">
        <f>(#REF!-E53)</f>
        <v>#REF!</v>
      </c>
      <c r="E53" s="51">
        <f>'[1]10-11 for 12-13 Asmt'!AW53</f>
        <v>415419.99000000022</v>
      </c>
      <c r="F53" s="61"/>
      <c r="G53" s="61" t="s">
        <v>305</v>
      </c>
      <c r="H53" s="64"/>
      <c r="I53" s="63"/>
      <c r="J53" s="64"/>
      <c r="K53" s="64">
        <f>SUM(I53:J53)</f>
        <v>0</v>
      </c>
      <c r="L53" s="64">
        <v>47721.854645252723</v>
      </c>
      <c r="M53" s="64">
        <v>52978</v>
      </c>
      <c r="N53" s="64">
        <v>46202.628570429923</v>
      </c>
      <c r="O53" s="64">
        <v>37508</v>
      </c>
      <c r="P53" s="64">
        <v>38137</v>
      </c>
      <c r="Q53" s="64">
        <v>36080.421517005881</v>
      </c>
      <c r="R53" s="63">
        <v>31004</v>
      </c>
      <c r="S53" s="63">
        <v>33298</v>
      </c>
      <c r="T53" s="63">
        <v>31292</v>
      </c>
      <c r="U53" s="63">
        <v>25627</v>
      </c>
      <c r="V53" s="63">
        <v>18454</v>
      </c>
      <c r="W53" s="63">
        <v>13473</v>
      </c>
      <c r="X53" s="63">
        <v>22883.430129417742</v>
      </c>
      <c r="Y53" s="63">
        <v>15419.40970394601</v>
      </c>
      <c r="Z53" s="64"/>
      <c r="AA53" s="65" t="s">
        <v>306</v>
      </c>
      <c r="AB53" s="60">
        <v>504240.84</v>
      </c>
      <c r="AC53" s="60">
        <v>503576.44</v>
      </c>
      <c r="AD53" s="94">
        <f t="shared" si="0"/>
        <v>503970.73666666663</v>
      </c>
      <c r="AE53" s="98">
        <f t="shared" si="1"/>
        <v>13004.194437260221</v>
      </c>
      <c r="AF53" s="104">
        <f t="shared" si="2"/>
        <v>2.5803471295321217E-2</v>
      </c>
    </row>
    <row r="54" spans="1:32" ht="15" customHeight="1">
      <c r="A54" s="45" t="s">
        <v>303</v>
      </c>
      <c r="B54" s="46" t="s">
        <v>307</v>
      </c>
      <c r="C54" s="60">
        <v>118687.54</v>
      </c>
      <c r="D54" s="50">
        <v>-8237.2699999999895</v>
      </c>
      <c r="E54" s="51">
        <f>'[1]10-11 for 12-13 Asmt'!AW54</f>
        <v>106914.81</v>
      </c>
      <c r="F54" s="61"/>
      <c r="G54" s="61" t="s">
        <v>309</v>
      </c>
      <c r="H54" s="64"/>
      <c r="I54" s="63"/>
      <c r="J54" s="64"/>
      <c r="K54" s="64">
        <f>SUM(I54:J54)</f>
        <v>0</v>
      </c>
      <c r="L54" s="64">
        <v>14693.089205515866</v>
      </c>
      <c r="M54" s="64">
        <v>16838</v>
      </c>
      <c r="N54" s="64">
        <v>16298.78639231512</v>
      </c>
      <c r="O54" s="64">
        <v>16787</v>
      </c>
      <c r="P54" s="64">
        <v>12952</v>
      </c>
      <c r="Q54" s="64">
        <v>20526.422313015501</v>
      </c>
      <c r="R54" s="63">
        <v>15672</v>
      </c>
      <c r="S54" s="63">
        <v>13445</v>
      </c>
      <c r="T54" s="63">
        <v>14242</v>
      </c>
      <c r="U54" s="63">
        <v>13780</v>
      </c>
      <c r="V54" s="63">
        <v>11970</v>
      </c>
      <c r="W54" s="63">
        <v>12358</v>
      </c>
      <c r="X54" s="63">
        <v>10329.84483259051</v>
      </c>
      <c r="Y54" s="63">
        <v>9245.9176481872037</v>
      </c>
      <c r="Z54" s="64"/>
      <c r="AA54" s="65" t="s">
        <v>307</v>
      </c>
      <c r="AB54" s="60">
        <v>120771.98</v>
      </c>
      <c r="AC54" s="60">
        <v>114415.29</v>
      </c>
      <c r="AD54" s="94">
        <f t="shared" si="0"/>
        <v>117958.27</v>
      </c>
      <c r="AE54" s="98">
        <f t="shared" si="1"/>
        <v>3043.7328339907499</v>
      </c>
      <c r="AF54" s="104">
        <f t="shared" si="2"/>
        <v>2.5803471295321217E-2</v>
      </c>
    </row>
    <row r="55" spans="1:32" ht="15" customHeight="1">
      <c r="A55" s="45" t="s">
        <v>303</v>
      </c>
      <c r="B55" s="46" t="s">
        <v>310</v>
      </c>
      <c r="C55" s="60">
        <v>206870.42</v>
      </c>
      <c r="D55" s="50">
        <v>8415.7900000000081</v>
      </c>
      <c r="E55" s="51">
        <f>'[1]10-11 for 12-13 Asmt'!AW55</f>
        <v>228166.52</v>
      </c>
      <c r="F55" s="61"/>
      <c r="G55" s="61"/>
      <c r="H55" s="64"/>
      <c r="I55" s="63"/>
      <c r="J55" s="64"/>
      <c r="K55" s="64">
        <f>SUM(I55:J55)</f>
        <v>0</v>
      </c>
      <c r="L55" s="64">
        <v>37510.878748401454</v>
      </c>
      <c r="M55" s="64">
        <v>36907</v>
      </c>
      <c r="N55" s="64">
        <v>36285.289725934475</v>
      </c>
      <c r="O55" s="64">
        <v>32956</v>
      </c>
      <c r="P55" s="64">
        <v>19522</v>
      </c>
      <c r="Q55" s="64">
        <v>35815.580128806439</v>
      </c>
      <c r="R55" s="63">
        <v>18807</v>
      </c>
      <c r="S55" s="63">
        <v>27417</v>
      </c>
      <c r="T55" s="63">
        <v>29818</v>
      </c>
      <c r="U55" s="63">
        <v>17825</v>
      </c>
      <c r="V55" s="63">
        <v>20010</v>
      </c>
      <c r="W55" s="63">
        <v>16106</v>
      </c>
      <c r="X55" s="63">
        <v>17536.703139592661</v>
      </c>
      <c r="Y55" s="63">
        <v>16342.869880531412</v>
      </c>
      <c r="Z55" s="64"/>
      <c r="AA55" s="65" t="s">
        <v>312</v>
      </c>
      <c r="AB55" s="60">
        <v>196452.72</v>
      </c>
      <c r="AC55" s="60">
        <v>192928.93</v>
      </c>
      <c r="AD55" s="94">
        <f t="shared" si="0"/>
        <v>198750.69000000003</v>
      </c>
      <c r="AE55" s="98">
        <f t="shared" si="1"/>
        <v>5128.4577243402873</v>
      </c>
      <c r="AF55" s="104">
        <f t="shared" si="2"/>
        <v>2.580347129532122E-2</v>
      </c>
    </row>
    <row r="56" spans="1:32" s="58" customFormat="1" ht="15" customHeight="1">
      <c r="A56" s="45" t="s">
        <v>303</v>
      </c>
      <c r="B56" s="46" t="s">
        <v>313</v>
      </c>
      <c r="C56" s="48">
        <v>429947.38</v>
      </c>
      <c r="D56" s="50">
        <v>34901.639999999985</v>
      </c>
      <c r="E56" s="51">
        <f>'[1]10-11 for 12-13 Asmt'!AW56</f>
        <v>242162.19</v>
      </c>
      <c r="F56" s="54" t="s">
        <v>315</v>
      </c>
      <c r="G56" s="54" t="s">
        <v>316</v>
      </c>
      <c r="H56" s="57"/>
      <c r="I56" s="56"/>
      <c r="J56" s="57"/>
      <c r="K56" s="57">
        <f>SUM(I56:J56)</f>
        <v>0</v>
      </c>
      <c r="L56" s="57">
        <v>42085.889267487757</v>
      </c>
      <c r="M56" s="57">
        <v>44938</v>
      </c>
      <c r="N56" s="57">
        <v>44121.744783365131</v>
      </c>
      <c r="O56" s="57">
        <v>43378</v>
      </c>
      <c r="P56" s="57">
        <v>49115</v>
      </c>
      <c r="Q56" s="57">
        <v>40809.581887465116</v>
      </c>
      <c r="R56" s="56">
        <v>38996</v>
      </c>
      <c r="S56" s="56">
        <v>40032</v>
      </c>
      <c r="T56" s="56">
        <v>28344</v>
      </c>
      <c r="U56" s="56">
        <v>31425</v>
      </c>
      <c r="V56" s="56">
        <v>27654</v>
      </c>
      <c r="W56" s="56">
        <v>26475</v>
      </c>
      <c r="X56" s="56">
        <v>21116.334952615794</v>
      </c>
      <c r="Y56" s="56">
        <v>20522.086634977353</v>
      </c>
      <c r="Z56" s="57"/>
      <c r="AA56" s="46" t="s">
        <v>313</v>
      </c>
      <c r="AB56" s="48">
        <v>413786.52</v>
      </c>
      <c r="AC56" s="48">
        <v>425007.7</v>
      </c>
      <c r="AD56" s="94">
        <f t="shared" si="0"/>
        <v>422913.8666666667</v>
      </c>
      <c r="AE56" s="98">
        <f t="shared" si="1"/>
        <v>10912.64581892664</v>
      </c>
      <c r="AF56" s="104">
        <f t="shared" si="2"/>
        <v>2.580347129532122E-2</v>
      </c>
    </row>
    <row r="57" spans="1:32" ht="15" customHeight="1">
      <c r="A57" s="45" t="s">
        <v>317</v>
      </c>
      <c r="B57" s="46" t="s">
        <v>318</v>
      </c>
      <c r="C57" s="60">
        <v>36969.129999999997</v>
      </c>
      <c r="D57" s="50">
        <v>12560.670000000013</v>
      </c>
      <c r="E57" s="51">
        <f>'[1]10-11 for 12-13 Asmt'!AW57</f>
        <v>33626.150000000009</v>
      </c>
      <c r="F57" s="60"/>
      <c r="G57" s="61"/>
      <c r="H57" s="64"/>
      <c r="I57" s="63"/>
      <c r="J57" s="64"/>
      <c r="K57" s="64">
        <v>2022</v>
      </c>
      <c r="L57" s="64">
        <v>1560.4585000000002</v>
      </c>
      <c r="M57" s="64">
        <v>1793</v>
      </c>
      <c r="N57" s="64">
        <v>1000</v>
      </c>
      <c r="O57" s="64">
        <v>6141</v>
      </c>
      <c r="P57" s="64">
        <v>6657</v>
      </c>
      <c r="Q57" s="64">
        <v>6730.9977798148393</v>
      </c>
      <c r="R57" s="63">
        <v>6210</v>
      </c>
      <c r="S57" s="63">
        <v>5569</v>
      </c>
      <c r="T57" s="63">
        <v>5383</v>
      </c>
      <c r="U57" s="63">
        <v>5267</v>
      </c>
      <c r="V57" s="63">
        <v>5146</v>
      </c>
      <c r="W57" s="63">
        <v>5037</v>
      </c>
      <c r="X57" s="63">
        <v>4288.7229577013222</v>
      </c>
      <c r="Y57" s="63">
        <v>3337.3485772963618</v>
      </c>
      <c r="Z57" s="64"/>
      <c r="AA57" s="65" t="s">
        <v>318</v>
      </c>
      <c r="AB57" s="60">
        <v>40296.06</v>
      </c>
      <c r="AC57" s="60">
        <v>36981</v>
      </c>
      <c r="AD57" s="94">
        <f t="shared" si="0"/>
        <v>38082.063333333332</v>
      </c>
      <c r="AE57" s="98">
        <f t="shared" si="1"/>
        <v>982.64942808827129</v>
      </c>
      <c r="AF57" s="104">
        <f t="shared" si="2"/>
        <v>2.5803471295321217E-2</v>
      </c>
    </row>
    <row r="58" spans="1:32" ht="15" customHeight="1">
      <c r="A58" s="45" t="s">
        <v>319</v>
      </c>
      <c r="B58" s="46" t="s">
        <v>320</v>
      </c>
      <c r="C58" s="60">
        <v>161604.79999999999</v>
      </c>
      <c r="D58" s="50">
        <v>40258.12000000001</v>
      </c>
      <c r="E58" s="51">
        <f>'[1]10-11 for 12-13 Asmt'!AW58</f>
        <v>98962.320000000022</v>
      </c>
      <c r="F58" s="61"/>
      <c r="G58" s="61"/>
      <c r="H58" s="64"/>
      <c r="I58" s="63"/>
      <c r="J58" s="64"/>
      <c r="K58" s="64">
        <f t="shared" ref="K58:K65" si="5">SUM(I58:J58)</f>
        <v>0</v>
      </c>
      <c r="L58" s="64">
        <v>4980</v>
      </c>
      <c r="M58" s="64">
        <v>2490</v>
      </c>
      <c r="N58" s="64">
        <v>7013.4729819128625</v>
      </c>
      <c r="O58" s="64">
        <v>13261</v>
      </c>
      <c r="P58" s="64">
        <v>8983</v>
      </c>
      <c r="Q58" s="64">
        <v>5350</v>
      </c>
      <c r="R58" s="63">
        <v>2675</v>
      </c>
      <c r="S58" s="63">
        <v>500</v>
      </c>
      <c r="T58" s="63">
        <v>2200</v>
      </c>
      <c r="U58" s="63">
        <v>1100</v>
      </c>
      <c r="V58" s="63">
        <v>4435</v>
      </c>
      <c r="W58" s="63">
        <v>1092</v>
      </c>
      <c r="X58" s="63">
        <v>3477.3753099514897</v>
      </c>
      <c r="Y58" s="63">
        <v>3828.9023415792385</v>
      </c>
      <c r="Z58" s="64"/>
      <c r="AA58" s="65" t="s">
        <v>321</v>
      </c>
      <c r="AB58" s="60">
        <v>158274.78</v>
      </c>
      <c r="AC58" s="60">
        <v>156090.79</v>
      </c>
      <c r="AD58" s="94">
        <f t="shared" si="0"/>
        <v>158656.79</v>
      </c>
      <c r="AE58" s="98">
        <f t="shared" si="1"/>
        <v>4093.8959265728072</v>
      </c>
      <c r="AF58" s="104">
        <f t="shared" si="2"/>
        <v>2.580347129532122E-2</v>
      </c>
    </row>
    <row r="59" spans="1:32" s="58" customFormat="1" ht="15" customHeight="1">
      <c r="A59" s="45" t="s">
        <v>322</v>
      </c>
      <c r="B59" s="46" t="s">
        <v>183</v>
      </c>
      <c r="C59" s="48">
        <v>337231.68</v>
      </c>
      <c r="D59" s="50">
        <v>16876.930000000168</v>
      </c>
      <c r="E59" s="51">
        <f>'[1]10-11 for 12-13 Asmt'!AW59</f>
        <v>272887.83000000019</v>
      </c>
      <c r="F59" s="54" t="s">
        <v>324</v>
      </c>
      <c r="G59" s="54" t="s">
        <v>325</v>
      </c>
      <c r="H59" s="57"/>
      <c r="I59" s="56"/>
      <c r="J59" s="57"/>
      <c r="K59" s="57">
        <f t="shared" si="5"/>
        <v>0</v>
      </c>
      <c r="L59" s="57">
        <v>41669.69297595814</v>
      </c>
      <c r="M59" s="57">
        <v>43418</v>
      </c>
      <c r="N59" s="57">
        <v>39332.107496838085</v>
      </c>
      <c r="O59" s="57">
        <v>42486</v>
      </c>
      <c r="P59" s="57">
        <v>38562</v>
      </c>
      <c r="Q59" s="57">
        <v>34314.914968460995</v>
      </c>
      <c r="R59" s="56">
        <v>35417</v>
      </c>
      <c r="S59" s="56">
        <v>27830</v>
      </c>
      <c r="T59" s="56">
        <v>24335</v>
      </c>
      <c r="U59" s="56">
        <v>26799</v>
      </c>
      <c r="V59" s="56">
        <v>24600</v>
      </c>
      <c r="W59" s="56">
        <v>21757</v>
      </c>
      <c r="X59" s="56">
        <v>16898.590833917482</v>
      </c>
      <c r="Y59" s="56">
        <v>16341.215474700715</v>
      </c>
      <c r="Z59" s="57"/>
      <c r="AA59" s="46" t="s">
        <v>183</v>
      </c>
      <c r="AB59" s="48">
        <v>338761.76</v>
      </c>
      <c r="AC59" s="48">
        <v>307881.93</v>
      </c>
      <c r="AD59" s="94">
        <f t="shared" si="0"/>
        <v>327958.45666666661</v>
      </c>
      <c r="AE59" s="98">
        <f t="shared" si="1"/>
        <v>8462.4666226561803</v>
      </c>
      <c r="AF59" s="104">
        <f t="shared" si="2"/>
        <v>2.580347129532122E-2</v>
      </c>
    </row>
    <row r="60" spans="1:32" ht="15" customHeight="1">
      <c r="A60" s="45" t="s">
        <v>326</v>
      </c>
      <c r="B60" s="46" t="s">
        <v>327</v>
      </c>
      <c r="C60" s="60">
        <v>68156.36</v>
      </c>
      <c r="D60" s="50">
        <v>2756.7400000000198</v>
      </c>
      <c r="E60" s="51">
        <f>'[1]10-11 for 12-13 Asmt'!AW60</f>
        <v>55229.649999999994</v>
      </c>
      <c r="F60" s="60"/>
      <c r="G60" s="60" t="s">
        <v>329</v>
      </c>
      <c r="H60" s="64"/>
      <c r="I60" s="63"/>
      <c r="J60" s="64"/>
      <c r="K60" s="64">
        <f t="shared" si="5"/>
        <v>0</v>
      </c>
      <c r="L60" s="64">
        <v>10476.798164154497</v>
      </c>
      <c r="M60" s="64">
        <v>10283</v>
      </c>
      <c r="N60" s="64">
        <v>7394.4075800076535</v>
      </c>
      <c r="O60" s="64">
        <v>8307</v>
      </c>
      <c r="P60" s="64">
        <v>8246</v>
      </c>
      <c r="Q60" s="64">
        <v>9515.9307069234201</v>
      </c>
      <c r="R60" s="63">
        <v>8509</v>
      </c>
      <c r="S60" s="63">
        <v>8145</v>
      </c>
      <c r="T60" s="63">
        <v>8410</v>
      </c>
      <c r="U60" s="63">
        <v>8514</v>
      </c>
      <c r="V60" s="63">
        <v>7818</v>
      </c>
      <c r="W60" s="63">
        <v>7551</v>
      </c>
      <c r="X60" s="63">
        <v>7217.77935809684</v>
      </c>
      <c r="Y60" s="63">
        <v>5975.1940854705499</v>
      </c>
      <c r="Z60" s="64"/>
      <c r="AA60" s="65" t="s">
        <v>330</v>
      </c>
      <c r="AB60" s="60">
        <v>64201.85</v>
      </c>
      <c r="AC60" s="60">
        <v>60895.75</v>
      </c>
      <c r="AD60" s="94">
        <f t="shared" si="0"/>
        <v>64417.986666666664</v>
      </c>
      <c r="AE60" s="98">
        <f t="shared" si="1"/>
        <v>1662.2076698557182</v>
      </c>
      <c r="AF60" s="104">
        <f t="shared" si="2"/>
        <v>2.5803471295321217E-2</v>
      </c>
    </row>
    <row r="61" spans="1:32" ht="15" customHeight="1">
      <c r="A61" s="45" t="s">
        <v>331</v>
      </c>
      <c r="B61" s="46" t="s">
        <v>332</v>
      </c>
      <c r="C61" s="60">
        <v>207055.35999999999</v>
      </c>
      <c r="D61" s="50">
        <v>34058.070000000036</v>
      </c>
      <c r="E61" s="51">
        <f>'[1]10-11 for 12-13 Asmt'!AW61</f>
        <v>154707.49</v>
      </c>
      <c r="F61" s="61"/>
      <c r="G61" s="74" t="s">
        <v>334</v>
      </c>
      <c r="H61" s="64"/>
      <c r="I61" s="63"/>
      <c r="J61" s="64"/>
      <c r="K61" s="64">
        <f t="shared" si="5"/>
        <v>0</v>
      </c>
      <c r="L61" s="64">
        <v>17685.832645593811</v>
      </c>
      <c r="M61" s="64">
        <v>19984</v>
      </c>
      <c r="N61" s="64">
        <v>18907.433720040521</v>
      </c>
      <c r="O61" s="64">
        <v>18620</v>
      </c>
      <c r="P61" s="64">
        <v>14239</v>
      </c>
      <c r="Q61" s="64">
        <v>15681.765300790936</v>
      </c>
      <c r="R61" s="63">
        <v>12489</v>
      </c>
      <c r="S61" s="63">
        <v>15465</v>
      </c>
      <c r="T61" s="63">
        <v>15239</v>
      </c>
      <c r="U61" s="63">
        <v>14788</v>
      </c>
      <c r="V61" s="63">
        <v>10788</v>
      </c>
      <c r="W61" s="63">
        <v>11471</v>
      </c>
      <c r="X61" s="63">
        <v>10211.320501016247</v>
      </c>
      <c r="Y61" s="63">
        <v>9819.6174160039973</v>
      </c>
      <c r="Z61" s="64"/>
      <c r="AA61" s="65" t="s">
        <v>335</v>
      </c>
      <c r="AB61" s="60">
        <v>208009.25</v>
      </c>
      <c r="AC61" s="60">
        <v>208156.11</v>
      </c>
      <c r="AD61" s="94">
        <f>(C61+AB61+AC61)/3</f>
        <v>207740.24</v>
      </c>
      <c r="AE61" s="98">
        <f t="shared" si="1"/>
        <v>5360.4193197231407</v>
      </c>
      <c r="AF61" s="104">
        <f t="shared" si="2"/>
        <v>2.580347129532122E-2</v>
      </c>
    </row>
    <row r="62" spans="1:32" s="58" customFormat="1" ht="15" customHeight="1">
      <c r="A62" s="45" t="s">
        <v>336</v>
      </c>
      <c r="B62" s="46" t="s">
        <v>337</v>
      </c>
      <c r="C62" s="48">
        <v>149577.62</v>
      </c>
      <c r="D62" s="50" t="e">
        <f>(#REF!-E62)</f>
        <v>#REF!</v>
      </c>
      <c r="E62" s="51">
        <f>'[1]10-11 for 12-13 Asmt'!AW65</f>
        <v>127846.07999999999</v>
      </c>
      <c r="F62" s="54" t="s">
        <v>339</v>
      </c>
      <c r="G62" s="54" t="s">
        <v>340</v>
      </c>
      <c r="H62" s="57"/>
      <c r="I62" s="56"/>
      <c r="J62" s="57"/>
      <c r="K62" s="57">
        <f>SUM(I62:J62)</f>
        <v>0</v>
      </c>
      <c r="L62" s="57">
        <v>22179.122391462395</v>
      </c>
      <c r="M62" s="57">
        <v>21553</v>
      </c>
      <c r="N62" s="57">
        <v>18702.37221491948</v>
      </c>
      <c r="O62" s="57">
        <v>16830</v>
      </c>
      <c r="P62" s="57">
        <v>17927</v>
      </c>
      <c r="Q62" s="57">
        <v>17420.683528193662</v>
      </c>
      <c r="R62" s="56">
        <v>7476</v>
      </c>
      <c r="S62" s="56">
        <v>6126</v>
      </c>
      <c r="T62" s="56">
        <v>8612</v>
      </c>
      <c r="U62" s="56">
        <v>6698</v>
      </c>
      <c r="V62" s="56">
        <v>12420</v>
      </c>
      <c r="W62" s="56">
        <v>11267</v>
      </c>
      <c r="X62" s="56">
        <v>10135.684751699573</v>
      </c>
      <c r="Y62" s="56">
        <v>9361.0021745511604</v>
      </c>
      <c r="Z62" s="57"/>
      <c r="AA62" s="46" t="s">
        <v>341</v>
      </c>
      <c r="AB62" s="60">
        <v>127570.23</v>
      </c>
      <c r="AC62" s="60">
        <v>129127.18</v>
      </c>
      <c r="AD62" s="94">
        <f t="shared" ref="AD62:AD68" si="6">(C62+AB62+AC62)/3</f>
        <v>135425.00999999998</v>
      </c>
      <c r="AE62" s="98">
        <f t="shared" si="1"/>
        <v>3494.4353582035887</v>
      </c>
      <c r="AF62" s="104">
        <f t="shared" si="2"/>
        <v>2.580347129532122E-2</v>
      </c>
    </row>
    <row r="63" spans="1:32" ht="15" customHeight="1">
      <c r="A63" s="45" t="s">
        <v>336</v>
      </c>
      <c r="B63" s="46" t="s">
        <v>342</v>
      </c>
      <c r="C63" s="60">
        <v>95930.57</v>
      </c>
      <c r="D63" s="96">
        <v>10566.730000000025</v>
      </c>
      <c r="E63" s="97">
        <f>'[1]10-11 for 12-13 Asmt'!AW62</f>
        <v>84625.989999999991</v>
      </c>
      <c r="F63" s="60"/>
      <c r="G63" s="61" t="s">
        <v>344</v>
      </c>
      <c r="H63" s="64"/>
      <c r="I63" s="63"/>
      <c r="J63" s="64"/>
      <c r="K63" s="64">
        <f>SUM(I63:J63)</f>
        <v>0</v>
      </c>
      <c r="L63" s="64">
        <v>5638</v>
      </c>
      <c r="M63" s="64">
        <v>2819</v>
      </c>
      <c r="N63" s="64">
        <v>10695.285027931803</v>
      </c>
      <c r="O63" s="64">
        <v>10741</v>
      </c>
      <c r="P63" s="64">
        <v>11200</v>
      </c>
      <c r="Q63" s="64">
        <v>10244.651030261859</v>
      </c>
      <c r="R63" s="63">
        <v>9929</v>
      </c>
      <c r="S63" s="63">
        <v>8536</v>
      </c>
      <c r="T63" s="63">
        <v>7360</v>
      </c>
      <c r="U63" s="63">
        <v>7080</v>
      </c>
      <c r="V63" s="63">
        <v>8540</v>
      </c>
      <c r="W63" s="63">
        <v>8404</v>
      </c>
      <c r="X63" s="63">
        <v>7235.3555976302778</v>
      </c>
      <c r="Y63" s="63">
        <v>6580.1564186398509</v>
      </c>
      <c r="Z63" s="64"/>
      <c r="AA63" s="65" t="s">
        <v>342</v>
      </c>
      <c r="AB63" s="48">
        <v>103036.2</v>
      </c>
      <c r="AC63" s="48">
        <v>107837.75</v>
      </c>
      <c r="AD63" s="94">
        <f t="shared" si="6"/>
        <v>102268.17333333334</v>
      </c>
      <c r="AE63" s="98">
        <f t="shared" si="1"/>
        <v>2638.873875031602</v>
      </c>
      <c r="AF63" s="104">
        <f t="shared" si="2"/>
        <v>2.580347129532122E-2</v>
      </c>
    </row>
    <row r="64" spans="1:32" s="58" customFormat="1" ht="15" customHeight="1">
      <c r="A64" s="45" t="s">
        <v>345</v>
      </c>
      <c r="B64" s="46" t="s">
        <v>346</v>
      </c>
      <c r="C64" s="60">
        <v>80115.929999999993</v>
      </c>
      <c r="D64" s="96">
        <v>8168.0500000000029</v>
      </c>
      <c r="E64" s="97">
        <f>'[1]10-11 for 12-13 Asmt'!AW63</f>
        <v>57597.75</v>
      </c>
      <c r="F64" s="61" t="s">
        <v>348</v>
      </c>
      <c r="G64" s="61" t="s">
        <v>349</v>
      </c>
      <c r="H64" s="64"/>
      <c r="I64" s="63"/>
      <c r="J64" s="64"/>
      <c r="K64" s="64">
        <f t="shared" si="5"/>
        <v>0</v>
      </c>
      <c r="L64" s="64">
        <v>2920.9364999999998</v>
      </c>
      <c r="M64" s="64">
        <v>2256</v>
      </c>
      <c r="N64" s="64">
        <v>9176.5908784157164</v>
      </c>
      <c r="O64" s="64">
        <v>6395</v>
      </c>
      <c r="P64" s="64">
        <v>3500</v>
      </c>
      <c r="Q64" s="64">
        <v>1750</v>
      </c>
      <c r="R64" s="63">
        <v>1000</v>
      </c>
      <c r="S64" s="63">
        <v>1000</v>
      </c>
      <c r="T64" s="63">
        <v>5451</v>
      </c>
      <c r="U64" s="63">
        <v>4665</v>
      </c>
      <c r="V64" s="63">
        <v>1104</v>
      </c>
      <c r="W64" s="63">
        <v>1078</v>
      </c>
      <c r="X64" s="63">
        <v>3854.6908003848175</v>
      </c>
      <c r="Y64" s="63">
        <v>500</v>
      </c>
      <c r="Z64" s="64"/>
      <c r="AA64" s="65" t="s">
        <v>346</v>
      </c>
      <c r="AB64" s="60">
        <v>65314.850000000006</v>
      </c>
      <c r="AC64" s="60">
        <v>53391.4</v>
      </c>
      <c r="AD64" s="94">
        <f t="shared" si="6"/>
        <v>66274.06</v>
      </c>
      <c r="AE64" s="98">
        <f t="shared" si="1"/>
        <v>1710.1008048343961</v>
      </c>
      <c r="AF64" s="104">
        <f t="shared" si="2"/>
        <v>2.5803471295321217E-2</v>
      </c>
    </row>
    <row r="65" spans="1:32" ht="15" customHeight="1">
      <c r="A65" s="45" t="s">
        <v>350</v>
      </c>
      <c r="B65" s="46" t="s">
        <v>351</v>
      </c>
      <c r="C65" s="60">
        <v>412352.05</v>
      </c>
      <c r="D65" s="96" t="e">
        <f>(#REF!-E65)</f>
        <v>#REF!</v>
      </c>
      <c r="E65" s="97">
        <f>'[1]10-11 for 12-13 Asmt'!AW64</f>
        <v>316538.59000000003</v>
      </c>
      <c r="F65" s="61"/>
      <c r="G65" s="61" t="s">
        <v>353</v>
      </c>
      <c r="H65" s="64"/>
      <c r="I65" s="63"/>
      <c r="J65" s="64"/>
      <c r="K65" s="64">
        <f t="shared" si="5"/>
        <v>0</v>
      </c>
      <c r="L65" s="64">
        <v>43533.135685677124</v>
      </c>
      <c r="M65" s="64">
        <v>35331</v>
      </c>
      <c r="N65" s="64">
        <v>29230.054609820418</v>
      </c>
      <c r="O65" s="64">
        <v>17933</v>
      </c>
      <c r="P65" s="64">
        <v>17973</v>
      </c>
      <c r="Q65" s="64">
        <v>17631.739889550023</v>
      </c>
      <c r="R65" s="63">
        <v>17271</v>
      </c>
      <c r="S65" s="63">
        <v>14425</v>
      </c>
      <c r="T65" s="63">
        <v>15683</v>
      </c>
      <c r="U65" s="63">
        <v>15441</v>
      </c>
      <c r="V65" s="63">
        <v>11822</v>
      </c>
      <c r="W65" s="63">
        <v>9263</v>
      </c>
      <c r="X65" s="63">
        <v>10398.168728533796</v>
      </c>
      <c r="Y65" s="63">
        <v>10563.476309803928</v>
      </c>
      <c r="Z65" s="64"/>
      <c r="AA65" s="65" t="s">
        <v>351</v>
      </c>
      <c r="AB65" s="60">
        <v>410619.12</v>
      </c>
      <c r="AC65" s="60">
        <v>430023.1</v>
      </c>
      <c r="AD65" s="94">
        <f t="shared" si="6"/>
        <v>417664.75666666665</v>
      </c>
      <c r="AE65" s="98">
        <f t="shared" si="1"/>
        <v>10777.200559715655</v>
      </c>
      <c r="AF65" s="104">
        <f t="shared" si="2"/>
        <v>2.580347129532122E-2</v>
      </c>
    </row>
    <row r="66" spans="1:32" ht="15" customHeight="1">
      <c r="A66" s="45" t="s">
        <v>354</v>
      </c>
      <c r="B66" s="46" t="s">
        <v>355</v>
      </c>
      <c r="C66" s="60">
        <v>85496.83</v>
      </c>
      <c r="D66" s="50" t="e">
        <f>(#REF!-E66)</f>
        <v>#REF!</v>
      </c>
      <c r="E66" s="51">
        <f>'[1]10-11 for 12-13 Asmt'!AW66</f>
        <v>58213.55</v>
      </c>
      <c r="F66" s="61"/>
      <c r="G66" s="61" t="s">
        <v>357</v>
      </c>
      <c r="H66" s="64"/>
      <c r="I66" s="63"/>
      <c r="J66" s="64"/>
      <c r="K66" s="64">
        <v>2589</v>
      </c>
      <c r="L66" s="64">
        <v>7000</v>
      </c>
      <c r="M66" s="64">
        <v>3500</v>
      </c>
      <c r="N66" s="64">
        <v>1750</v>
      </c>
      <c r="O66" s="64">
        <v>5048</v>
      </c>
      <c r="P66" s="64">
        <v>7060</v>
      </c>
      <c r="Q66" s="64">
        <v>8685.1025993161184</v>
      </c>
      <c r="R66" s="63">
        <v>7432</v>
      </c>
      <c r="S66" s="63">
        <v>8167</v>
      </c>
      <c r="T66" s="63">
        <v>7846</v>
      </c>
      <c r="U66" s="63">
        <v>9289</v>
      </c>
      <c r="V66" s="63">
        <v>8032</v>
      </c>
      <c r="W66" s="63">
        <v>8284</v>
      </c>
      <c r="X66" s="63">
        <v>7934.5561878715016</v>
      </c>
      <c r="Y66" s="63">
        <v>4950.5780850973451</v>
      </c>
      <c r="Z66" s="64"/>
      <c r="AA66" s="65" t="s">
        <v>358</v>
      </c>
      <c r="AB66" s="60">
        <v>88458.44</v>
      </c>
      <c r="AC66" s="60">
        <v>85963.24</v>
      </c>
      <c r="AD66" s="94">
        <f t="shared" si="6"/>
        <v>86639.503333333341</v>
      </c>
      <c r="AE66" s="98">
        <f t="shared" si="1"/>
        <v>2235.5999373025538</v>
      </c>
      <c r="AF66" s="104">
        <f t="shared" si="2"/>
        <v>2.5803471295321217E-2</v>
      </c>
    </row>
    <row r="67" spans="1:32" s="58" customFormat="1" ht="15" customHeight="1">
      <c r="A67" s="45" t="s">
        <v>354</v>
      </c>
      <c r="B67" s="46" t="s">
        <v>359</v>
      </c>
      <c r="C67" s="48">
        <v>965235</v>
      </c>
      <c r="D67" s="50" t="e">
        <f>(#REF!-E67)</f>
        <v>#REF!</v>
      </c>
      <c r="E67" s="51">
        <f>'[1]10-11 for 12-13 Asmt'!AW67</f>
        <v>368032</v>
      </c>
      <c r="F67" s="54"/>
      <c r="G67" s="54" t="s">
        <v>361</v>
      </c>
      <c r="H67" s="57"/>
      <c r="I67" s="56"/>
      <c r="J67" s="57"/>
      <c r="K67" s="57">
        <f t="shared" ref="K67:K81" si="7">SUM(I67:J67)</f>
        <v>0</v>
      </c>
      <c r="L67" s="57">
        <v>64109.560414751439</v>
      </c>
      <c r="M67" s="57">
        <v>63502</v>
      </c>
      <c r="N67" s="57">
        <v>56095.536361500468</v>
      </c>
      <c r="O67" s="57">
        <v>58851</v>
      </c>
      <c r="P67" s="57">
        <v>46143</v>
      </c>
      <c r="Q67" s="57">
        <v>36843.107727258597</v>
      </c>
      <c r="R67" s="56">
        <v>39407</v>
      </c>
      <c r="S67" s="56">
        <v>32139</v>
      </c>
      <c r="T67" s="56">
        <v>32703</v>
      </c>
      <c r="U67" s="56">
        <v>14594</v>
      </c>
      <c r="V67" s="56">
        <v>11150</v>
      </c>
      <c r="W67" s="56">
        <v>14499</v>
      </c>
      <c r="X67" s="56">
        <v>11889.527347975951</v>
      </c>
      <c r="Y67" s="56">
        <v>15911.50733037552</v>
      </c>
      <c r="Z67" s="57"/>
      <c r="AA67" s="46" t="s">
        <v>362</v>
      </c>
      <c r="AB67" s="48">
        <v>961476</v>
      </c>
      <c r="AC67" s="48">
        <v>948620</v>
      </c>
      <c r="AD67" s="94">
        <f t="shared" si="6"/>
        <v>958443.66666666663</v>
      </c>
      <c r="AE67" s="98">
        <f t="shared" si="1"/>
        <v>24731.17364101575</v>
      </c>
      <c r="AF67" s="104">
        <f t="shared" si="2"/>
        <v>2.5803471295321217E-2</v>
      </c>
    </row>
    <row r="68" spans="1:32" s="58" customFormat="1" ht="15" customHeight="1">
      <c r="A68" s="45" t="s">
        <v>363</v>
      </c>
      <c r="B68" s="46" t="s">
        <v>364</v>
      </c>
      <c r="C68" s="48">
        <v>68110.490000000005</v>
      </c>
      <c r="D68" s="50" t="e">
        <f>(#REF!-E68)</f>
        <v>#REF!</v>
      </c>
      <c r="E68" s="51">
        <f>'[1]10-11 for 12-13 Asmt'!AW68</f>
        <v>55324.9</v>
      </c>
      <c r="F68" s="54"/>
      <c r="G68" s="54"/>
      <c r="H68" s="57"/>
      <c r="I68" s="57"/>
      <c r="J68" s="57"/>
      <c r="K68" s="57">
        <f t="shared" si="7"/>
        <v>0</v>
      </c>
      <c r="L68" s="57">
        <v>10563.858287939283</v>
      </c>
      <c r="M68" s="57">
        <v>10596</v>
      </c>
      <c r="N68" s="57">
        <v>6000</v>
      </c>
      <c r="O68" s="57">
        <v>3000</v>
      </c>
      <c r="P68" s="57">
        <v>1500</v>
      </c>
      <c r="Q68" s="57">
        <v>7039.4993189481975</v>
      </c>
      <c r="R68" s="56">
        <v>5608</v>
      </c>
      <c r="S68" s="56">
        <v>4977</v>
      </c>
      <c r="T68" s="56">
        <v>5929</v>
      </c>
      <c r="U68" s="56">
        <v>6663</v>
      </c>
      <c r="V68" s="56">
        <v>5249</v>
      </c>
      <c r="W68" s="56">
        <v>4785</v>
      </c>
      <c r="X68" s="56">
        <v>4460.5711873297732</v>
      </c>
      <c r="Y68" s="56">
        <v>3715.1033075618902</v>
      </c>
      <c r="Z68" s="57"/>
      <c r="AA68" s="46" t="s">
        <v>366</v>
      </c>
      <c r="AB68" s="48">
        <v>58260.26</v>
      </c>
      <c r="AC68" s="48">
        <v>59549.74</v>
      </c>
      <c r="AD68" s="94">
        <f t="shared" si="6"/>
        <v>61973.496666666666</v>
      </c>
      <c r="AE68" s="98">
        <f t="shared" si="1"/>
        <v>1599.1313423090185</v>
      </c>
      <c r="AF68" s="104">
        <f t="shared" si="2"/>
        <v>2.5803471295321217E-2</v>
      </c>
    </row>
    <row r="69" spans="1:32" s="58" customFormat="1" ht="15" customHeight="1">
      <c r="A69" s="45" t="s">
        <v>367</v>
      </c>
      <c r="B69" s="46" t="s">
        <v>368</v>
      </c>
      <c r="C69" s="48">
        <v>197405.35</v>
      </c>
      <c r="D69" s="50" t="e">
        <f>(#REF!-E69)</f>
        <v>#REF!</v>
      </c>
      <c r="E69" s="51">
        <f>'[1]10-11 for 12-13 Asmt'!AW69</f>
        <v>129872.85999999999</v>
      </c>
      <c r="F69" s="54" t="s">
        <v>370</v>
      </c>
      <c r="G69" s="54"/>
      <c r="H69" s="57"/>
      <c r="I69" s="56"/>
      <c r="J69" s="57"/>
      <c r="K69" s="57">
        <f t="shared" si="7"/>
        <v>0</v>
      </c>
      <c r="L69" s="57">
        <v>18743.99924610083</v>
      </c>
      <c r="M69" s="57">
        <v>16531</v>
      </c>
      <c r="N69" s="57">
        <v>14035.314784045429</v>
      </c>
      <c r="O69" s="57">
        <v>14012</v>
      </c>
      <c r="P69" s="57">
        <v>14522</v>
      </c>
      <c r="Q69" s="57">
        <v>5362.8737655455188</v>
      </c>
      <c r="R69" s="56">
        <v>4156</v>
      </c>
      <c r="S69" s="56">
        <v>2000</v>
      </c>
      <c r="T69" s="56">
        <v>1000</v>
      </c>
      <c r="U69" s="56">
        <v>525</v>
      </c>
      <c r="V69" s="56">
        <v>0</v>
      </c>
      <c r="W69" s="56">
        <v>0</v>
      </c>
      <c r="X69" s="56">
        <v>0</v>
      </c>
      <c r="Y69" s="56">
        <v>0</v>
      </c>
      <c r="Z69" s="57"/>
      <c r="AA69" s="46" t="s">
        <v>368</v>
      </c>
      <c r="AB69" s="48">
        <v>161241.88</v>
      </c>
      <c r="AC69" s="48">
        <v>144712.07</v>
      </c>
      <c r="AD69" s="94">
        <f t="shared" ref="AD69:AD86" si="8">(C69+AB69+AC69)/3</f>
        <v>167786.43333333332</v>
      </c>
      <c r="AE69" s="98">
        <f t="shared" si="1"/>
        <v>4329.4724162609937</v>
      </c>
      <c r="AF69" s="104">
        <f t="shared" si="2"/>
        <v>2.580347129532122E-2</v>
      </c>
    </row>
    <row r="70" spans="1:32" ht="15" customHeight="1">
      <c r="A70" s="45" t="s">
        <v>371</v>
      </c>
      <c r="B70" s="46" t="s">
        <v>310</v>
      </c>
      <c r="C70" s="60">
        <v>129328</v>
      </c>
      <c r="D70" s="50" t="e">
        <f>(#REF!-E70)</f>
        <v>#REF!</v>
      </c>
      <c r="E70" s="51">
        <f>'[1]10-11 for 12-13 Asmt'!AW70</f>
        <v>86011.309999999983</v>
      </c>
      <c r="F70" s="60"/>
      <c r="G70" s="60"/>
      <c r="H70" s="64"/>
      <c r="I70" s="63"/>
      <c r="J70" s="64"/>
      <c r="K70" s="64">
        <f t="shared" si="7"/>
        <v>0</v>
      </c>
      <c r="L70" s="64">
        <v>11668.961867920007</v>
      </c>
      <c r="M70" s="64">
        <v>12403</v>
      </c>
      <c r="N70" s="64">
        <v>10309.77667696473</v>
      </c>
      <c r="O70" s="64">
        <v>9573</v>
      </c>
      <c r="P70" s="64">
        <v>9669</v>
      </c>
      <c r="Q70" s="64">
        <v>9462.7418152855607</v>
      </c>
      <c r="R70" s="63">
        <v>9056</v>
      </c>
      <c r="S70" s="63">
        <v>7601</v>
      </c>
      <c r="T70" s="63">
        <v>8921</v>
      </c>
      <c r="U70" s="63">
        <v>8599</v>
      </c>
      <c r="V70" s="63">
        <v>5805</v>
      </c>
      <c r="W70" s="63">
        <v>4742</v>
      </c>
      <c r="X70" s="63">
        <v>5287.1463292475601</v>
      </c>
      <c r="Y70" s="63">
        <v>5359.0363056415599</v>
      </c>
      <c r="Z70" s="64"/>
      <c r="AA70" s="65" t="s">
        <v>310</v>
      </c>
      <c r="AB70" s="60">
        <v>130958.37</v>
      </c>
      <c r="AC70" s="60">
        <v>138791.26999999999</v>
      </c>
      <c r="AD70" s="94">
        <f t="shared" si="8"/>
        <v>133025.88</v>
      </c>
      <c r="AE70" s="98">
        <f t="shared" si="1"/>
        <v>3432.5294761148452</v>
      </c>
      <c r="AF70" s="104">
        <f t="shared" si="2"/>
        <v>2.580347129532122E-2</v>
      </c>
    </row>
    <row r="71" spans="1:32" ht="15" customHeight="1">
      <c r="A71" s="45" t="s">
        <v>371</v>
      </c>
      <c r="B71" s="46" t="s">
        <v>372</v>
      </c>
      <c r="C71" s="60">
        <v>84701</v>
      </c>
      <c r="D71" s="50" t="e">
        <f>(#REF!-E71)</f>
        <v>#REF!</v>
      </c>
      <c r="E71" s="51">
        <f>'[1]10-11 for 12-13 Asmt'!AW71</f>
        <v>90359.289999999979</v>
      </c>
      <c r="F71" s="61"/>
      <c r="G71" s="61"/>
      <c r="H71" s="64"/>
      <c r="I71" s="63"/>
      <c r="J71" s="64"/>
      <c r="K71" s="64">
        <f t="shared" si="7"/>
        <v>0</v>
      </c>
      <c r="L71" s="64">
        <v>14609.55536235107</v>
      </c>
      <c r="M71" s="64">
        <v>14651</v>
      </c>
      <c r="N71" s="64">
        <v>12926.110860323866</v>
      </c>
      <c r="O71" s="64">
        <v>11836</v>
      </c>
      <c r="P71" s="64">
        <v>12065</v>
      </c>
      <c r="Q71" s="64">
        <v>11114.13370041232</v>
      </c>
      <c r="R71" s="63">
        <v>10862</v>
      </c>
      <c r="S71" s="63">
        <v>8946</v>
      </c>
      <c r="T71" s="63">
        <v>10364</v>
      </c>
      <c r="U71" s="63">
        <v>9458</v>
      </c>
      <c r="V71" s="63">
        <v>8782</v>
      </c>
      <c r="W71" s="63">
        <v>8245</v>
      </c>
      <c r="X71" s="63">
        <v>9647.0178258788274</v>
      </c>
      <c r="Y71" s="63">
        <v>9802.2150950553405</v>
      </c>
      <c r="Z71" s="64"/>
      <c r="AA71" s="65" t="s">
        <v>372</v>
      </c>
      <c r="AB71" s="60">
        <v>79958</v>
      </c>
      <c r="AC71" s="60">
        <v>77291</v>
      </c>
      <c r="AD71" s="94">
        <f t="shared" si="8"/>
        <v>80650</v>
      </c>
      <c r="AE71" s="98">
        <f t="shared" ref="AE71:AE86" si="9">(AD71/$AD$87)*$AE$5</f>
        <v>2081.0499599676564</v>
      </c>
      <c r="AF71" s="104">
        <f t="shared" ref="AF71:AF86" si="10">AE71/AD71</f>
        <v>2.580347129532122E-2</v>
      </c>
    </row>
    <row r="72" spans="1:32" s="58" customFormat="1" ht="15" customHeight="1">
      <c r="A72" s="45" t="s">
        <v>374</v>
      </c>
      <c r="B72" s="46" t="s">
        <v>375</v>
      </c>
      <c r="C72" s="48">
        <v>158251.91</v>
      </c>
      <c r="D72" s="50" t="e">
        <f>(#REF!-E72)</f>
        <v>#REF!</v>
      </c>
      <c r="E72" s="51">
        <f>'[1]10-11 for 12-13 Asmt'!AW72</f>
        <v>121978.56999999992</v>
      </c>
      <c r="F72" s="54" t="s">
        <v>377</v>
      </c>
      <c r="G72" s="54"/>
      <c r="H72" s="57"/>
      <c r="I72" s="56"/>
      <c r="J72" s="57"/>
      <c r="K72" s="57">
        <f t="shared" si="7"/>
        <v>0</v>
      </c>
      <c r="L72" s="57">
        <v>18328.723532255197</v>
      </c>
      <c r="M72" s="57">
        <v>17971</v>
      </c>
      <c r="N72" s="57">
        <v>18460.748555565304</v>
      </c>
      <c r="O72" s="57">
        <v>16215</v>
      </c>
      <c r="P72" s="57">
        <v>14083</v>
      </c>
      <c r="Q72" s="57">
        <v>18673.435906920888</v>
      </c>
      <c r="R72" s="56">
        <v>10285</v>
      </c>
      <c r="S72" s="56">
        <v>13993</v>
      </c>
      <c r="T72" s="56">
        <v>11855</v>
      </c>
      <c r="U72" s="56">
        <v>13734</v>
      </c>
      <c r="V72" s="56">
        <v>9851</v>
      </c>
      <c r="W72" s="56">
        <v>10675</v>
      </c>
      <c r="X72" s="56">
        <v>9561.9895545194486</v>
      </c>
      <c r="Y72" s="56">
        <v>8264.73201942171</v>
      </c>
      <c r="Z72" s="57"/>
      <c r="AA72" s="46" t="s">
        <v>375</v>
      </c>
      <c r="AB72" s="48">
        <v>153568.26999999999</v>
      </c>
      <c r="AC72" s="48">
        <v>145923.01</v>
      </c>
      <c r="AD72" s="94">
        <f t="shared" si="8"/>
        <v>152581.06333333332</v>
      </c>
      <c r="AE72" s="98">
        <f t="shared" si="9"/>
        <v>3937.1210879312557</v>
      </c>
      <c r="AF72" s="104">
        <f t="shared" si="10"/>
        <v>2.580347129532122E-2</v>
      </c>
    </row>
    <row r="73" spans="1:32" ht="15" customHeight="1">
      <c r="A73" s="45" t="s">
        <v>374</v>
      </c>
      <c r="B73" s="46" t="s">
        <v>204</v>
      </c>
      <c r="C73" s="60">
        <v>177433.61</v>
      </c>
      <c r="D73" s="50" t="e">
        <f>(#REF!-E73)</f>
        <v>#REF!</v>
      </c>
      <c r="E73" s="51">
        <f>'[1]10-11 for 12-13 Asmt'!AW73</f>
        <v>125018.25000000001</v>
      </c>
      <c r="F73" s="60"/>
      <c r="G73" s="60"/>
      <c r="H73" s="64"/>
      <c r="I73" s="63"/>
      <c r="J73" s="64"/>
      <c r="K73" s="64">
        <f t="shared" si="7"/>
        <v>0</v>
      </c>
      <c r="L73" s="64">
        <v>17383.836356213636</v>
      </c>
      <c r="M73" s="64">
        <v>20928</v>
      </c>
      <c r="N73" s="64">
        <v>20584.569882139334</v>
      </c>
      <c r="O73" s="64">
        <v>18802</v>
      </c>
      <c r="P73" s="64">
        <v>15602</v>
      </c>
      <c r="Q73" s="64">
        <v>18595.80484369686</v>
      </c>
      <c r="R73" s="63">
        <v>14972</v>
      </c>
      <c r="S73" s="63">
        <v>15596</v>
      </c>
      <c r="T73" s="63">
        <v>15488</v>
      </c>
      <c r="U73" s="63">
        <v>13787</v>
      </c>
      <c r="V73" s="63">
        <v>14256</v>
      </c>
      <c r="W73" s="63">
        <v>12272</v>
      </c>
      <c r="X73" s="63">
        <v>13719.849274365215</v>
      </c>
      <c r="Y73" s="63">
        <v>10626.667006073014</v>
      </c>
      <c r="Z73" s="64"/>
      <c r="AA73" s="65" t="s">
        <v>204</v>
      </c>
      <c r="AB73" s="60">
        <v>164118.92000000001</v>
      </c>
      <c r="AC73" s="60">
        <v>156693.04</v>
      </c>
      <c r="AD73" s="94">
        <f t="shared" si="8"/>
        <v>166081.85666666669</v>
      </c>
      <c r="AE73" s="98">
        <f t="shared" si="9"/>
        <v>4285.4884211719864</v>
      </c>
      <c r="AF73" s="104">
        <f t="shared" si="10"/>
        <v>2.5803471295321217E-2</v>
      </c>
    </row>
    <row r="74" spans="1:32" s="58" customFormat="1" ht="15" customHeight="1">
      <c r="A74" s="45" t="s">
        <v>379</v>
      </c>
      <c r="B74" s="46" t="s">
        <v>380</v>
      </c>
      <c r="C74" s="48">
        <v>757161.36</v>
      </c>
      <c r="D74" s="50" t="e">
        <f>(#REF!-E74)</f>
        <v>#REF!</v>
      </c>
      <c r="E74" s="51">
        <f>'[1]10-11 for 12-13 Asmt'!AW74</f>
        <v>516895.47</v>
      </c>
      <c r="F74" s="54"/>
      <c r="G74" s="54" t="s">
        <v>382</v>
      </c>
      <c r="H74" s="57"/>
      <c r="I74" s="56"/>
      <c r="J74" s="57"/>
      <c r="K74" s="57">
        <f t="shared" si="7"/>
        <v>0</v>
      </c>
      <c r="L74" s="57">
        <v>91858.558507774855</v>
      </c>
      <c r="M74" s="57">
        <v>69668</v>
      </c>
      <c r="N74" s="57">
        <v>81417.509305159867</v>
      </c>
      <c r="O74" s="57">
        <v>78578</v>
      </c>
      <c r="P74" s="57">
        <v>54689</v>
      </c>
      <c r="Q74" s="57">
        <v>49878.503845836996</v>
      </c>
      <c r="R74" s="56">
        <v>59685</v>
      </c>
      <c r="S74" s="56">
        <v>51019</v>
      </c>
      <c r="T74" s="56">
        <v>46896</v>
      </c>
      <c r="U74" s="56">
        <v>41350</v>
      </c>
      <c r="V74" s="56">
        <v>35295</v>
      </c>
      <c r="W74" s="56">
        <v>37290</v>
      </c>
      <c r="X74" s="56">
        <v>37550.289846017396</v>
      </c>
      <c r="Y74" s="56">
        <v>29869.061222925695</v>
      </c>
      <c r="Z74" s="57"/>
      <c r="AA74" s="46" t="s">
        <v>383</v>
      </c>
      <c r="AB74" s="48">
        <v>706901.98</v>
      </c>
      <c r="AC74" s="48">
        <v>796048.19</v>
      </c>
      <c r="AD74" s="94">
        <f t="shared" si="8"/>
        <v>753370.50999999989</v>
      </c>
      <c r="AE74" s="98">
        <f t="shared" si="9"/>
        <v>19439.574329526506</v>
      </c>
      <c r="AF74" s="104">
        <f t="shared" si="10"/>
        <v>2.580347129532122E-2</v>
      </c>
    </row>
    <row r="75" spans="1:32" ht="15" customHeight="1">
      <c r="A75" s="45" t="s">
        <v>384</v>
      </c>
      <c r="B75" s="46" t="s">
        <v>385</v>
      </c>
      <c r="C75" s="60">
        <v>179290.03</v>
      </c>
      <c r="D75" s="50" t="e">
        <f>(#REF!-E75)</f>
        <v>#REF!</v>
      </c>
      <c r="E75" s="51">
        <f>'[1]10-11 for 12-13 Asmt'!AW75</f>
        <v>147618.68</v>
      </c>
      <c r="F75" s="61"/>
      <c r="G75" s="61" t="s">
        <v>386</v>
      </c>
      <c r="H75" s="64"/>
      <c r="I75" s="63"/>
      <c r="J75" s="64"/>
      <c r="K75" s="64">
        <f t="shared" si="7"/>
        <v>0</v>
      </c>
      <c r="L75" s="64">
        <v>26366.753821129965</v>
      </c>
      <c r="M75" s="64">
        <v>21907</v>
      </c>
      <c r="N75" s="64">
        <v>21181.854466458579</v>
      </c>
      <c r="O75" s="64">
        <v>18355</v>
      </c>
      <c r="P75" s="64">
        <v>14861</v>
      </c>
      <c r="Q75" s="64">
        <v>14091</v>
      </c>
      <c r="R75" s="63">
        <v>14856</v>
      </c>
      <c r="S75" s="63">
        <v>11933</v>
      </c>
      <c r="T75" s="63">
        <v>14366</v>
      </c>
      <c r="U75" s="63">
        <v>26206</v>
      </c>
      <c r="V75" s="63">
        <v>11058</v>
      </c>
      <c r="W75" s="63">
        <v>10823</v>
      </c>
      <c r="X75" s="63">
        <v>9869.3407163824959</v>
      </c>
      <c r="Y75" s="63">
        <v>8985.4799413491273</v>
      </c>
      <c r="Z75" s="64"/>
      <c r="AA75" s="65" t="s">
        <v>385</v>
      </c>
      <c r="AB75" s="60">
        <v>180644.35</v>
      </c>
      <c r="AC75" s="60">
        <v>174327.85</v>
      </c>
      <c r="AD75" s="94">
        <f t="shared" si="8"/>
        <v>178087.41</v>
      </c>
      <c r="AE75" s="98">
        <f t="shared" si="9"/>
        <v>4595.2733719931011</v>
      </c>
      <c r="AF75" s="104">
        <f t="shared" si="10"/>
        <v>2.580347129532122E-2</v>
      </c>
    </row>
    <row r="76" spans="1:32" ht="15" customHeight="1">
      <c r="A76" s="45" t="s">
        <v>384</v>
      </c>
      <c r="B76" s="46" t="s">
        <v>136</v>
      </c>
      <c r="C76" s="60">
        <v>608428.92000000004</v>
      </c>
      <c r="D76" s="50" t="e">
        <f>(#REF!-E76)</f>
        <v>#REF!</v>
      </c>
      <c r="E76" s="51">
        <f>'[1]10-11 for 12-13 Asmt'!AW76</f>
        <v>412360.49000000046</v>
      </c>
      <c r="F76" s="60"/>
      <c r="G76" s="61"/>
      <c r="H76" s="64"/>
      <c r="I76" s="63"/>
      <c r="J76" s="64"/>
      <c r="K76" s="64">
        <f t="shared" si="7"/>
        <v>0</v>
      </c>
      <c r="L76" s="64">
        <v>62246.389197434197</v>
      </c>
      <c r="M76" s="64">
        <v>59894</v>
      </c>
      <c r="N76" s="64">
        <v>52416.473485218696</v>
      </c>
      <c r="O76" s="64">
        <v>53055</v>
      </c>
      <c r="P76" s="64">
        <v>33998</v>
      </c>
      <c r="Q76" s="64">
        <v>37572</v>
      </c>
      <c r="R76" s="63">
        <v>41859</v>
      </c>
      <c r="S76" s="63">
        <v>35123</v>
      </c>
      <c r="T76" s="63">
        <v>32529</v>
      </c>
      <c r="U76" s="63">
        <v>11748</v>
      </c>
      <c r="V76" s="63">
        <v>22279</v>
      </c>
      <c r="W76" s="63">
        <v>20518</v>
      </c>
      <c r="X76" s="63">
        <v>20723.398460937566</v>
      </c>
      <c r="Y76" s="63">
        <v>19617</v>
      </c>
      <c r="Z76" s="64"/>
      <c r="AA76" s="65" t="s">
        <v>388</v>
      </c>
      <c r="AB76" s="60">
        <v>606962.80000000005</v>
      </c>
      <c r="AC76" s="60">
        <v>676479.96</v>
      </c>
      <c r="AD76" s="94">
        <f t="shared" si="8"/>
        <v>630623.89333333343</v>
      </c>
      <c r="AE76" s="98">
        <f t="shared" si="9"/>
        <v>16272.285529770379</v>
      </c>
      <c r="AF76" s="104">
        <f t="shared" si="10"/>
        <v>2.5803471295321217E-2</v>
      </c>
    </row>
    <row r="77" spans="1:32" ht="15" customHeight="1">
      <c r="A77" s="45" t="s">
        <v>389</v>
      </c>
      <c r="B77" s="46" t="s">
        <v>390</v>
      </c>
      <c r="C77" s="60">
        <v>471431.31</v>
      </c>
      <c r="D77" s="50" t="e">
        <f>(#REF!-E77)</f>
        <v>#REF!</v>
      </c>
      <c r="E77" s="51">
        <f>'[1]10-11 for 12-13 Asmt'!AW77</f>
        <v>255763.01999999996</v>
      </c>
      <c r="F77" s="61"/>
      <c r="G77" s="60"/>
      <c r="H77" s="64"/>
      <c r="I77" s="63"/>
      <c r="J77" s="64"/>
      <c r="K77" s="64">
        <f t="shared" si="7"/>
        <v>0</v>
      </c>
      <c r="L77" s="64">
        <v>39764.477883602711</v>
      </c>
      <c r="M77" s="64">
        <v>34247</v>
      </c>
      <c r="N77" s="64">
        <v>30550.854439719977</v>
      </c>
      <c r="O77" s="64">
        <v>29531</v>
      </c>
      <c r="P77" s="64">
        <v>24932</v>
      </c>
      <c r="Q77" s="64">
        <v>28941.161086072279</v>
      </c>
      <c r="R77" s="63">
        <v>24831</v>
      </c>
      <c r="S77" s="63">
        <v>20192</v>
      </c>
      <c r="T77" s="63">
        <v>18966</v>
      </c>
      <c r="U77" s="63">
        <v>17401</v>
      </c>
      <c r="V77" s="63">
        <v>18518</v>
      </c>
      <c r="W77" s="63">
        <v>14766</v>
      </c>
      <c r="X77" s="63">
        <v>17313.199727858162</v>
      </c>
      <c r="Y77" s="63">
        <v>18602.904877707086</v>
      </c>
      <c r="Z77" s="64"/>
      <c r="AA77" s="65" t="s">
        <v>390</v>
      </c>
      <c r="AB77" s="60">
        <v>453276.47</v>
      </c>
      <c r="AC77" s="60">
        <v>471075.82</v>
      </c>
      <c r="AD77" s="94">
        <f t="shared" si="8"/>
        <v>465261.2</v>
      </c>
      <c r="AE77" s="98">
        <f t="shared" si="9"/>
        <v>12005.354019026707</v>
      </c>
      <c r="AF77" s="104">
        <f t="shared" si="10"/>
        <v>2.5803471295321224E-2</v>
      </c>
    </row>
    <row r="78" spans="1:32" ht="15" customHeight="1">
      <c r="A78" s="45" t="s">
        <v>392</v>
      </c>
      <c r="B78" s="46" t="s">
        <v>393</v>
      </c>
      <c r="C78" s="60">
        <v>151522.67000000001</v>
      </c>
      <c r="D78" s="50" t="e">
        <f>(#REF!-E78)</f>
        <v>#REF!</v>
      </c>
      <c r="E78" s="51">
        <f>'[1]10-11 for 12-13 Asmt'!AW78</f>
        <v>93519.179999999978</v>
      </c>
      <c r="F78" s="60"/>
      <c r="G78" s="61"/>
      <c r="H78" s="64"/>
      <c r="I78" s="63"/>
      <c r="J78" s="64"/>
      <c r="K78" s="64">
        <f t="shared" si="7"/>
        <v>0</v>
      </c>
      <c r="L78" s="64">
        <v>18081.935378794107</v>
      </c>
      <c r="M78" s="64">
        <v>17998</v>
      </c>
      <c r="N78" s="64">
        <v>16399.281087145398</v>
      </c>
      <c r="O78" s="64">
        <v>14423</v>
      </c>
      <c r="P78" s="64">
        <v>13298</v>
      </c>
      <c r="Q78" s="64">
        <v>12307.15163551176</v>
      </c>
      <c r="R78" s="63">
        <v>12564</v>
      </c>
      <c r="S78" s="63">
        <v>11929</v>
      </c>
      <c r="T78" s="63">
        <v>10700</v>
      </c>
      <c r="U78" s="63">
        <v>12834</v>
      </c>
      <c r="V78" s="63">
        <v>9930</v>
      </c>
      <c r="W78" s="63">
        <v>8286</v>
      </c>
      <c r="X78" s="63">
        <v>8316.4621842992547</v>
      </c>
      <c r="Y78" s="63">
        <v>9010.7625585764181</v>
      </c>
      <c r="Z78" s="64"/>
      <c r="AA78" s="65" t="s">
        <v>395</v>
      </c>
      <c r="AB78" s="60">
        <v>158441.96</v>
      </c>
      <c r="AC78" s="60">
        <v>158281.69</v>
      </c>
      <c r="AD78" s="94">
        <f t="shared" si="8"/>
        <v>156082.10666666666</v>
      </c>
      <c r="AE78" s="98">
        <f t="shared" si="9"/>
        <v>4027.4601590865977</v>
      </c>
      <c r="AF78" s="104">
        <f t="shared" si="10"/>
        <v>2.5803471295321217E-2</v>
      </c>
    </row>
    <row r="79" spans="1:32" ht="15" customHeight="1">
      <c r="A79" s="45" t="s">
        <v>396</v>
      </c>
      <c r="B79" s="46" t="s">
        <v>397</v>
      </c>
      <c r="C79" s="60">
        <v>122363.48</v>
      </c>
      <c r="D79" s="50" t="e">
        <f>(#REF!-E79)</f>
        <v>#REF!</v>
      </c>
      <c r="E79" s="51">
        <f>'[1]10-11 for 12-13 Asmt'!AW79</f>
        <v>113348.72999999997</v>
      </c>
      <c r="F79" s="60"/>
      <c r="G79" s="61" t="s">
        <v>399</v>
      </c>
      <c r="H79" s="64"/>
      <c r="I79" s="63"/>
      <c r="J79" s="64"/>
      <c r="K79" s="64">
        <f t="shared" si="7"/>
        <v>0</v>
      </c>
      <c r="L79" s="64">
        <v>15243.348132952651</v>
      </c>
      <c r="M79" s="64">
        <v>15216</v>
      </c>
      <c r="N79" s="64">
        <v>13566.331344814391</v>
      </c>
      <c r="O79" s="64">
        <v>12389</v>
      </c>
      <c r="P79" s="64">
        <v>11080</v>
      </c>
      <c r="Q79" s="64">
        <v>10293.536943864126</v>
      </c>
      <c r="R79" s="63">
        <v>10375</v>
      </c>
      <c r="S79" s="63">
        <v>10074</v>
      </c>
      <c r="T79" s="63">
        <v>8987</v>
      </c>
      <c r="U79" s="63">
        <v>7217</v>
      </c>
      <c r="V79" s="63">
        <v>6068</v>
      </c>
      <c r="W79" s="63">
        <v>5334</v>
      </c>
      <c r="X79" s="63">
        <v>3518.8976848263292</v>
      </c>
      <c r="Y79" s="63">
        <v>3751.9832462751824</v>
      </c>
      <c r="Z79" s="64"/>
      <c r="AA79" s="65" t="s">
        <v>397</v>
      </c>
      <c r="AB79" s="60">
        <v>117335.8</v>
      </c>
      <c r="AC79" s="60">
        <v>115261.78</v>
      </c>
      <c r="AD79" s="94">
        <f t="shared" si="8"/>
        <v>118320.35333333333</v>
      </c>
      <c r="AE79" s="98">
        <f t="shared" si="9"/>
        <v>3053.075840888931</v>
      </c>
      <c r="AF79" s="104">
        <f t="shared" si="10"/>
        <v>2.580347129532122E-2</v>
      </c>
    </row>
    <row r="80" spans="1:32" s="58" customFormat="1" ht="15" customHeight="1">
      <c r="A80" s="45" t="s">
        <v>400</v>
      </c>
      <c r="B80" s="46" t="s">
        <v>401</v>
      </c>
      <c r="C80" s="48">
        <v>155234.91</v>
      </c>
      <c r="D80" s="50" t="e">
        <f>(#REF!-E80)</f>
        <v>#REF!</v>
      </c>
      <c r="E80" s="51">
        <f>'[1]10-11 for 12-13 Asmt'!AW80</f>
        <v>146219.96</v>
      </c>
      <c r="F80" s="54" t="s">
        <v>403</v>
      </c>
      <c r="G80" s="66" t="s">
        <v>404</v>
      </c>
      <c r="H80" s="57"/>
      <c r="I80" s="56"/>
      <c r="J80" s="57"/>
      <c r="K80" s="57">
        <f t="shared" si="7"/>
        <v>0</v>
      </c>
      <c r="L80" s="57">
        <v>22861.414002998124</v>
      </c>
      <c r="M80" s="57">
        <v>25714</v>
      </c>
      <c r="N80" s="57">
        <v>24424.635416877092</v>
      </c>
      <c r="O80" s="57">
        <v>20450</v>
      </c>
      <c r="P80" s="57">
        <v>19603</v>
      </c>
      <c r="Q80" s="57">
        <v>18095.407758905079</v>
      </c>
      <c r="R80" s="56">
        <v>16598</v>
      </c>
      <c r="S80" s="56">
        <v>13840</v>
      </c>
      <c r="T80" s="56">
        <v>11497</v>
      </c>
      <c r="U80" s="56">
        <v>11452</v>
      </c>
      <c r="V80" s="56">
        <v>3694</v>
      </c>
      <c r="W80" s="56">
        <v>10501</v>
      </c>
      <c r="X80" s="56">
        <v>6160.1282526327022</v>
      </c>
      <c r="Y80" s="56">
        <v>6469.0881050511043</v>
      </c>
      <c r="Z80" s="57"/>
      <c r="AA80" s="46" t="s">
        <v>405</v>
      </c>
      <c r="AB80" s="48">
        <v>139702.37</v>
      </c>
      <c r="AC80" s="48">
        <v>150002.43</v>
      </c>
      <c r="AD80" s="94">
        <f t="shared" si="8"/>
        <v>148313.23666666666</v>
      </c>
      <c r="AE80" s="98">
        <f t="shared" si="9"/>
        <v>3826.9963450445157</v>
      </c>
      <c r="AF80" s="104">
        <f t="shared" si="10"/>
        <v>2.5803471295321217E-2</v>
      </c>
    </row>
    <row r="81" spans="1:32" s="58" customFormat="1" ht="15" customHeight="1">
      <c r="A81" s="45" t="s">
        <v>406</v>
      </c>
      <c r="B81" s="46" t="s">
        <v>136</v>
      </c>
      <c r="C81" s="48">
        <v>908331</v>
      </c>
      <c r="D81" s="50" t="e">
        <f>(#REF!-E81)</f>
        <v>#REF!</v>
      </c>
      <c r="E81" s="51">
        <f>'[1]10-11 for 12-13 Asmt'!AW81</f>
        <v>637119.26</v>
      </c>
      <c r="F81" s="54" t="s">
        <v>408</v>
      </c>
      <c r="G81" s="54" t="s">
        <v>409</v>
      </c>
      <c r="H81" s="57"/>
      <c r="I81" s="56"/>
      <c r="J81" s="57"/>
      <c r="K81" s="57">
        <f t="shared" si="7"/>
        <v>0</v>
      </c>
      <c r="L81" s="57">
        <v>67455.835331199705</v>
      </c>
      <c r="M81" s="57">
        <v>70341</v>
      </c>
      <c r="N81" s="57">
        <v>80799.903487648931</v>
      </c>
      <c r="O81" s="57">
        <v>67578</v>
      </c>
      <c r="P81" s="57">
        <v>58248</v>
      </c>
      <c r="Q81" s="57">
        <v>57327.896372134775</v>
      </c>
      <c r="R81" s="56">
        <v>64056</v>
      </c>
      <c r="S81" s="56">
        <v>60211</v>
      </c>
      <c r="T81" s="56">
        <v>61292</v>
      </c>
      <c r="U81" s="56">
        <v>61038</v>
      </c>
      <c r="V81" s="56">
        <v>53439</v>
      </c>
      <c r="W81" s="56">
        <v>66917</v>
      </c>
      <c r="X81" s="56">
        <v>52597.219602588943</v>
      </c>
      <c r="Y81" s="56">
        <v>56690.07810471495</v>
      </c>
      <c r="Z81" s="57"/>
      <c r="AA81" s="46" t="s">
        <v>138</v>
      </c>
      <c r="AB81" s="48">
        <v>890611.61</v>
      </c>
      <c r="AC81" s="48">
        <v>896765.9</v>
      </c>
      <c r="AD81" s="94">
        <f t="shared" si="8"/>
        <v>898569.5033333333</v>
      </c>
      <c r="AE81" s="98">
        <f t="shared" si="9"/>
        <v>23186.212386112711</v>
      </c>
      <c r="AF81" s="104">
        <f t="shared" si="10"/>
        <v>2.580347129532122E-2</v>
      </c>
    </row>
    <row r="82" spans="1:32" ht="15" customHeight="1">
      <c r="A82" s="45" t="s">
        <v>410</v>
      </c>
      <c r="B82" s="46" t="s">
        <v>411</v>
      </c>
      <c r="C82" s="60">
        <v>41696.79</v>
      </c>
      <c r="D82" s="50" t="e">
        <f>(#REF!-E82)</f>
        <v>#REF!</v>
      </c>
      <c r="E82" s="51">
        <f>'[1]10-11 for 12-13 Asmt'!AW82</f>
        <v>70341.7</v>
      </c>
      <c r="F82" s="61"/>
      <c r="G82" s="61" t="s">
        <v>412</v>
      </c>
      <c r="H82" s="64"/>
      <c r="I82" s="63"/>
      <c r="J82" s="64"/>
      <c r="K82" s="64">
        <v>2592</v>
      </c>
      <c r="L82" s="64">
        <v>1992.0370000000007</v>
      </c>
      <c r="M82" s="64">
        <v>1800</v>
      </c>
      <c r="N82" s="64">
        <v>1250</v>
      </c>
      <c r="O82" s="64">
        <v>1000</v>
      </c>
      <c r="P82" s="64">
        <v>750</v>
      </c>
      <c r="Q82" s="64">
        <v>500</v>
      </c>
      <c r="R82" s="63">
        <v>500</v>
      </c>
      <c r="S82" s="63">
        <v>500</v>
      </c>
      <c r="T82" s="63">
        <v>500</v>
      </c>
      <c r="U82" s="63">
        <v>1100</v>
      </c>
      <c r="V82" s="63">
        <v>1086</v>
      </c>
      <c r="W82" s="63">
        <v>1068</v>
      </c>
      <c r="X82" s="63">
        <v>2890.9403211554372</v>
      </c>
      <c r="Y82" s="63">
        <v>700</v>
      </c>
      <c r="Z82" s="64"/>
      <c r="AA82" s="65" t="s">
        <v>411</v>
      </c>
      <c r="AB82" s="60">
        <v>34354.379999999997</v>
      </c>
      <c r="AC82" s="60">
        <v>36345.730000000003</v>
      </c>
      <c r="AD82" s="94">
        <f t="shared" si="8"/>
        <v>37465.633333333331</v>
      </c>
      <c r="AE82" s="98">
        <f t="shared" si="9"/>
        <v>966.74339427769655</v>
      </c>
      <c r="AF82" s="104">
        <f t="shared" si="10"/>
        <v>2.580347129532122E-2</v>
      </c>
    </row>
    <row r="83" spans="1:32" s="58" customFormat="1" ht="15" customHeight="1">
      <c r="A83" s="45" t="s">
        <v>413</v>
      </c>
      <c r="B83" s="46" t="s">
        <v>166</v>
      </c>
      <c r="C83" s="48">
        <v>44246.07</v>
      </c>
      <c r="D83" s="50" t="e">
        <f>(#REF!-E83)</f>
        <v>#REF!</v>
      </c>
      <c r="E83" s="51">
        <f>'[1]10-11 for 12-13 Asmt'!AW83</f>
        <v>64842.590000000004</v>
      </c>
      <c r="F83" s="48" t="s">
        <v>414</v>
      </c>
      <c r="G83" s="54" t="s">
        <v>415</v>
      </c>
      <c r="H83" s="57"/>
      <c r="I83" s="56"/>
      <c r="J83" s="57"/>
      <c r="K83" s="57">
        <v>6860</v>
      </c>
      <c r="L83" s="57">
        <v>3250</v>
      </c>
      <c r="M83" s="57">
        <v>2500</v>
      </c>
      <c r="N83" s="57">
        <v>2500</v>
      </c>
      <c r="O83" s="57">
        <v>2000</v>
      </c>
      <c r="P83" s="57">
        <v>1750</v>
      </c>
      <c r="Q83" s="57">
        <v>2000</v>
      </c>
      <c r="R83" s="56">
        <v>1000</v>
      </c>
      <c r="S83" s="56">
        <v>1000</v>
      </c>
      <c r="T83" s="56">
        <v>0</v>
      </c>
      <c r="U83" s="56">
        <v>10496</v>
      </c>
      <c r="V83" s="56">
        <v>8440</v>
      </c>
      <c r="W83" s="56">
        <v>8054</v>
      </c>
      <c r="X83" s="56">
        <v>6676.8141120411783</v>
      </c>
      <c r="Y83" s="56">
        <v>0</v>
      </c>
      <c r="Z83" s="57"/>
      <c r="AA83" s="46" t="s">
        <v>166</v>
      </c>
      <c r="AB83" s="48">
        <v>47069.9</v>
      </c>
      <c r="AC83" s="48">
        <v>53326.32</v>
      </c>
      <c r="AD83" s="94">
        <f t="shared" si="8"/>
        <v>48214.096666666672</v>
      </c>
      <c r="AE83" s="98">
        <f t="shared" si="9"/>
        <v>1244.091059368176</v>
      </c>
      <c r="AF83" s="104">
        <f t="shared" si="10"/>
        <v>2.580347129532122E-2</v>
      </c>
    </row>
    <row r="84" spans="1:32" ht="15" customHeight="1">
      <c r="A84" s="45" t="s">
        <v>416</v>
      </c>
      <c r="B84" s="46" t="s">
        <v>197</v>
      </c>
      <c r="C84" s="60">
        <v>1617679.39</v>
      </c>
      <c r="D84" s="50" t="e">
        <f>(#REF!-E84)</f>
        <v>#REF!</v>
      </c>
      <c r="E84" s="51">
        <f>'[1]10-11 for 12-13 Asmt'!AW84</f>
        <v>853588</v>
      </c>
      <c r="F84" s="61"/>
      <c r="G84" s="60" t="s">
        <v>418</v>
      </c>
      <c r="H84" s="64"/>
      <c r="I84" s="63"/>
      <c r="J84" s="64"/>
      <c r="K84" s="64">
        <f>SUM(I84:J84)</f>
        <v>0</v>
      </c>
      <c r="L84" s="64">
        <v>148550.42848765777</v>
      </c>
      <c r="M84" s="64">
        <v>132040</v>
      </c>
      <c r="N84" s="64">
        <v>128350.2694891244</v>
      </c>
      <c r="O84" s="64">
        <v>108169</v>
      </c>
      <c r="P84" s="64">
        <v>104386</v>
      </c>
      <c r="Q84" s="64">
        <v>88836.671327577424</v>
      </c>
      <c r="R84" s="63">
        <v>78831</v>
      </c>
      <c r="S84" s="63">
        <v>78584</v>
      </c>
      <c r="T84" s="63">
        <v>62598</v>
      </c>
      <c r="U84" s="63">
        <v>61735</v>
      </c>
      <c r="V84" s="63">
        <v>55649</v>
      </c>
      <c r="W84" s="63">
        <v>61236</v>
      </c>
      <c r="X84" s="63">
        <v>37239.030666996485</v>
      </c>
      <c r="Y84" s="63">
        <v>40618.938993964024</v>
      </c>
      <c r="Z84" s="64"/>
      <c r="AA84" s="65" t="s">
        <v>419</v>
      </c>
      <c r="AB84" s="60">
        <v>1469487.2</v>
      </c>
      <c r="AC84" s="60">
        <v>1499645.28</v>
      </c>
      <c r="AD84" s="94">
        <f t="shared" si="8"/>
        <v>1528937.29</v>
      </c>
      <c r="AE84" s="98">
        <f t="shared" si="9"/>
        <v>39451.889474861215</v>
      </c>
      <c r="AF84" s="104">
        <f t="shared" si="10"/>
        <v>2.580347129532122E-2</v>
      </c>
    </row>
    <row r="85" spans="1:32" s="58" customFormat="1" ht="15" customHeight="1">
      <c r="A85" s="45" t="s">
        <v>420</v>
      </c>
      <c r="B85" s="46" t="s">
        <v>421</v>
      </c>
      <c r="C85" s="48">
        <v>483651.95</v>
      </c>
      <c r="D85" s="50" t="e">
        <f>(#REF!-E85)</f>
        <v>#REF!</v>
      </c>
      <c r="E85" s="51">
        <f>'[1]10-11 for 12-13 Asmt'!AW85</f>
        <v>265523.19</v>
      </c>
      <c r="F85" s="54" t="s">
        <v>422</v>
      </c>
      <c r="G85" s="48"/>
      <c r="H85" s="57"/>
      <c r="I85" s="56"/>
      <c r="J85" s="57"/>
      <c r="K85" s="57">
        <f>SUM(I85:J85)</f>
        <v>0</v>
      </c>
      <c r="L85" s="57">
        <v>36391.755862504535</v>
      </c>
      <c r="M85" s="57">
        <v>29153</v>
      </c>
      <c r="N85" s="57">
        <v>17264.115460451474</v>
      </c>
      <c r="O85" s="57">
        <v>27710</v>
      </c>
      <c r="P85" s="57">
        <v>14280</v>
      </c>
      <c r="Q85" s="57">
        <v>7140</v>
      </c>
      <c r="R85" s="56">
        <v>3570</v>
      </c>
      <c r="S85" s="56">
        <v>500</v>
      </c>
      <c r="T85" s="56">
        <v>9870</v>
      </c>
      <c r="U85" s="56">
        <v>8856</v>
      </c>
      <c r="V85" s="56">
        <v>9433</v>
      </c>
      <c r="W85" s="56">
        <v>12924</v>
      </c>
      <c r="X85" s="56">
        <v>7917.5948031457801</v>
      </c>
      <c r="Y85" s="56">
        <v>13028.888359381739</v>
      </c>
      <c r="Z85" s="57"/>
      <c r="AA85" s="46" t="s">
        <v>423</v>
      </c>
      <c r="AB85" s="48">
        <v>480468.44</v>
      </c>
      <c r="AC85" s="48">
        <v>441832.02</v>
      </c>
      <c r="AD85" s="94">
        <f t="shared" si="8"/>
        <v>468650.8033333334</v>
      </c>
      <c r="AE85" s="98">
        <f t="shared" si="9"/>
        <v>12092.817551340899</v>
      </c>
      <c r="AF85" s="104">
        <f t="shared" si="10"/>
        <v>2.580347129532122E-2</v>
      </c>
    </row>
    <row r="86" spans="1:32" s="58" customFormat="1" ht="15" customHeight="1" thickBot="1">
      <c r="A86" s="76" t="s">
        <v>420</v>
      </c>
      <c r="B86" s="77" t="s">
        <v>424</v>
      </c>
      <c r="C86" s="92">
        <v>83194.149999999994</v>
      </c>
      <c r="D86" s="50" t="e">
        <f>(#REF!-E86)</f>
        <v>#REF!</v>
      </c>
      <c r="E86" s="51">
        <f>'[1]10-11 for 12-13 Asmt'!AW86</f>
        <v>70202.739999999991</v>
      </c>
      <c r="G86" s="54" t="s">
        <v>426</v>
      </c>
      <c r="H86" s="78"/>
      <c r="I86" s="56"/>
      <c r="J86" s="57"/>
      <c r="K86" s="57">
        <f>SUM(I86:J86)</f>
        <v>0</v>
      </c>
      <c r="L86" s="57">
        <v>11287.891076088283</v>
      </c>
      <c r="M86" s="78">
        <v>12515</v>
      </c>
      <c r="N86" s="57">
        <v>9750.2673569594426</v>
      </c>
      <c r="O86" s="57">
        <v>11622</v>
      </c>
      <c r="P86" s="57">
        <v>10454</v>
      </c>
      <c r="Q86" s="57">
        <v>10295.320952275961</v>
      </c>
      <c r="R86" s="56">
        <v>10877</v>
      </c>
      <c r="S86" s="56">
        <v>7120</v>
      </c>
      <c r="T86" s="56">
        <v>7710</v>
      </c>
      <c r="U86" s="56">
        <v>7981</v>
      </c>
      <c r="V86" s="56">
        <v>7297</v>
      </c>
      <c r="W86" s="56">
        <v>5513</v>
      </c>
      <c r="X86" s="56">
        <v>5451.6605707295439</v>
      </c>
      <c r="Y86" s="56">
        <v>6410.1595638799517</v>
      </c>
      <c r="Z86" s="57"/>
      <c r="AA86" s="46" t="s">
        <v>427</v>
      </c>
      <c r="AB86" s="48">
        <v>78245.36</v>
      </c>
      <c r="AC86" s="48">
        <v>78553.7</v>
      </c>
      <c r="AD86" s="94">
        <f t="shared" si="8"/>
        <v>79997.736666666679</v>
      </c>
      <c r="AE86" s="98">
        <f t="shared" si="9"/>
        <v>2064.2193017689992</v>
      </c>
      <c r="AF86" s="104">
        <f t="shared" si="10"/>
        <v>2.5803471295321217E-2</v>
      </c>
    </row>
    <row r="87" spans="1:32" ht="25.5" customHeight="1" thickTop="1" thickBot="1">
      <c r="B87" s="2" t="s">
        <v>428</v>
      </c>
      <c r="C87" s="93">
        <f>SUM(C6:C86)</f>
        <v>23635456.909999996</v>
      </c>
      <c r="D87" s="79" t="e">
        <f t="shared" ref="D87:E87" si="11">SUM(D6:D86)</f>
        <v>#REF!</v>
      </c>
      <c r="E87" s="79">
        <f t="shared" si="11"/>
        <v>15376424.030000001</v>
      </c>
      <c r="F87" s="79"/>
      <c r="G87" s="79"/>
      <c r="H87" s="82">
        <f>SUM(H6:H86)</f>
        <v>0</v>
      </c>
      <c r="I87" s="82">
        <f>SUM(I6:I86)</f>
        <v>0</v>
      </c>
      <c r="J87" s="82">
        <f>SUM(J6:J86)</f>
        <v>0</v>
      </c>
      <c r="K87" s="82"/>
      <c r="L87" s="79">
        <f>SUM(L6:L86)</f>
        <v>2126974.5660705799</v>
      </c>
      <c r="M87" s="82">
        <f>SUM(M6:M86)</f>
        <v>2126244</v>
      </c>
      <c r="N87" s="82">
        <f>SUM(N6:N86)</f>
        <v>1997687.1160715716</v>
      </c>
      <c r="O87" s="82">
        <f>SUM(O6:O86)</f>
        <v>1848254</v>
      </c>
      <c r="P87" s="82">
        <f>SUM(P6:P86)</f>
        <v>1670322</v>
      </c>
      <c r="Q87" s="82">
        <v>1630673.2811975535</v>
      </c>
      <c r="R87" s="82">
        <v>1567939</v>
      </c>
      <c r="S87" s="82">
        <v>1389633</v>
      </c>
      <c r="T87" s="82">
        <v>1335921</v>
      </c>
      <c r="U87" s="79">
        <v>1285998</v>
      </c>
      <c r="V87" s="82">
        <v>1129715</v>
      </c>
      <c r="W87" s="82">
        <v>1110789</v>
      </c>
      <c r="X87" s="82">
        <v>994416</v>
      </c>
      <c r="Y87" s="79">
        <v>936698.08088946331</v>
      </c>
      <c r="AA87" s="2" t="s">
        <v>428</v>
      </c>
      <c r="AB87" s="102">
        <f>SUM(AB6:AB86)</f>
        <v>22899729.369999997</v>
      </c>
      <c r="AC87" s="103">
        <f>SUM(AC6:AC86)</f>
        <v>23222869.890000001</v>
      </c>
      <c r="AD87" s="102">
        <f>SUM(AD6:AD86)</f>
        <v>23252685.389999997</v>
      </c>
      <c r="AE87" s="101">
        <f>SUM(AE6:AE86)</f>
        <v>600000.00000000012</v>
      </c>
      <c r="AF87" s="6"/>
    </row>
    <row r="88" spans="1:32" ht="12" thickTop="1">
      <c r="B88" s="83"/>
      <c r="AA88" s="83"/>
    </row>
  </sheetData>
  <mergeCells count="1">
    <mergeCell ref="A1:AD1"/>
  </mergeCells>
  <pageMargins left="0.45" right="0.2" top="0.75" bottom="0.75" header="0.3" footer="0.3"/>
  <pageSetup scale="89" fitToHeight="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S93"/>
  <sheetViews>
    <sheetView topLeftCell="A73" zoomScaleNormal="100" workbookViewId="0">
      <selection activeCell="B10" sqref="B10"/>
    </sheetView>
  </sheetViews>
  <sheetFormatPr defaultColWidth="9.7109375" defaultRowHeight="11.25"/>
  <cols>
    <col min="1" max="1" width="22.140625" style="2" customWidth="1"/>
    <col min="2" max="2" width="17.5703125" style="2" customWidth="1"/>
    <col min="3" max="3" width="10.7109375" style="2" hidden="1" customWidth="1"/>
    <col min="4" max="4" width="9.140625" style="2" hidden="1" customWidth="1"/>
    <col min="5" max="6" width="13.140625" style="2" hidden="1" customWidth="1"/>
    <col min="7" max="7" width="13.140625" style="3" hidden="1" customWidth="1"/>
    <col min="8" max="8" width="12" style="2" hidden="1" customWidth="1"/>
    <col min="9" max="9" width="12.7109375" style="2" customWidth="1"/>
    <col min="10" max="11" width="11" style="2" hidden="1" customWidth="1"/>
    <col min="12" max="13" width="10.28515625" style="2" hidden="1" customWidth="1"/>
    <col min="14" max="14" width="10.140625" style="2" hidden="1" customWidth="1"/>
    <col min="15" max="15" width="11.5703125" style="2" hidden="1" customWidth="1"/>
    <col min="16" max="16" width="10.85546875" style="2" hidden="1" customWidth="1"/>
    <col min="17" max="17" width="13.42578125" style="2" hidden="1" customWidth="1"/>
    <col min="18" max="18" width="14.140625" style="2" hidden="1" customWidth="1"/>
    <col min="19" max="19" width="10.140625" style="2" hidden="1" customWidth="1"/>
    <col min="20" max="20" width="13.42578125" style="2" hidden="1" customWidth="1"/>
    <col min="21" max="21" width="9.140625" style="2" hidden="1" customWidth="1"/>
    <col min="22" max="23" width="13.42578125" style="2" hidden="1" customWidth="1"/>
    <col min="24" max="24" width="14.42578125" style="2" hidden="1" customWidth="1"/>
    <col min="25" max="25" width="11.42578125" style="2" hidden="1" customWidth="1"/>
    <col min="26" max="26" width="14.7109375" style="2" hidden="1" customWidth="1"/>
    <col min="27" max="27" width="11.28515625" style="2" hidden="1" customWidth="1"/>
    <col min="28" max="28" width="14" style="2" hidden="1" customWidth="1"/>
    <col min="29" max="34" width="13.42578125" style="2" hidden="1" customWidth="1"/>
    <col min="35" max="35" width="12.7109375" style="4" customWidth="1"/>
    <col min="36" max="36" width="12.28515625" style="5" hidden="1" customWidth="1"/>
    <col min="37" max="37" width="12.7109375" style="2" hidden="1" customWidth="1"/>
    <col min="38" max="38" width="11.7109375" style="2" hidden="1" customWidth="1"/>
    <col min="39" max="39" width="14.28515625" style="2" hidden="1" customWidth="1"/>
    <col min="40" max="40" width="39.28515625" style="2" hidden="1" customWidth="1"/>
    <col min="41" max="41" width="14.5703125" style="2" hidden="1" customWidth="1"/>
    <col min="42" max="42" width="18.42578125" style="2" hidden="1" customWidth="1"/>
    <col min="43" max="43" width="15.42578125" style="2" hidden="1" customWidth="1"/>
    <col min="44" max="44" width="11.5703125" style="6" hidden="1" customWidth="1"/>
    <col min="45" max="45" width="11.7109375" style="2" hidden="1" customWidth="1"/>
    <col min="46" max="46" width="13.140625" style="2" customWidth="1"/>
    <col min="47" max="47" width="12.28515625" style="7" hidden="1" customWidth="1"/>
    <col min="48" max="48" width="13.140625" style="2" hidden="1" customWidth="1"/>
    <col min="49" max="49" width="14.7109375" style="2" customWidth="1"/>
    <col min="50" max="50" width="12.28515625" style="7" hidden="1" customWidth="1"/>
    <col min="51" max="51" width="14.7109375" style="2" hidden="1" customWidth="1"/>
    <col min="52" max="52" width="45.85546875" style="2" hidden="1" customWidth="1"/>
    <col min="53" max="53" width="48.85546875" style="2" hidden="1" customWidth="1"/>
    <col min="54" max="54" width="17.5703125" style="2" hidden="1" customWidth="1"/>
    <col min="55" max="55" width="11.5703125" style="2" hidden="1" customWidth="1"/>
    <col min="56" max="57" width="17.5703125" style="2" hidden="1" customWidth="1"/>
    <col min="58" max="65" width="20.140625" style="2" hidden="1" customWidth="1"/>
    <col min="66" max="66" width="17.42578125" style="2" hidden="1" customWidth="1"/>
    <col min="67" max="67" width="18" style="2" hidden="1" customWidth="1"/>
    <col min="68" max="69" width="20.140625" style="2" hidden="1" customWidth="1"/>
    <col min="70" max="71" width="20.140625" style="8" hidden="1" customWidth="1"/>
    <col min="72" max="72" width="11.85546875" style="2" hidden="1" customWidth="1"/>
    <col min="73" max="73" width="25" style="2" hidden="1" customWidth="1"/>
    <col min="74" max="16384" width="9.7109375" style="2"/>
  </cols>
  <sheetData>
    <row r="1" spans="1:73">
      <c r="A1" s="1" t="s">
        <v>0</v>
      </c>
      <c r="BO1" s="8"/>
    </row>
    <row r="2" spans="1:73" ht="12" thickBot="1">
      <c r="A2" s="1" t="s">
        <v>1</v>
      </c>
      <c r="H2" s="9"/>
      <c r="BB2" s="2" t="s">
        <v>2</v>
      </c>
      <c r="BE2" s="10" t="s">
        <v>3</v>
      </c>
      <c r="BF2" s="10" t="s">
        <v>3</v>
      </c>
      <c r="BG2" s="10" t="s">
        <v>3</v>
      </c>
      <c r="BH2" s="10" t="s">
        <v>3</v>
      </c>
      <c r="BI2" s="10" t="s">
        <v>3</v>
      </c>
      <c r="BJ2" s="10" t="s">
        <v>3</v>
      </c>
      <c r="BK2" s="10" t="s">
        <v>3</v>
      </c>
      <c r="BL2" s="10" t="s">
        <v>3</v>
      </c>
      <c r="BM2" s="10" t="s">
        <v>3</v>
      </c>
      <c r="BN2" s="10" t="s">
        <v>3</v>
      </c>
      <c r="BO2" s="10" t="s">
        <v>3</v>
      </c>
      <c r="BP2" s="10" t="s">
        <v>3</v>
      </c>
      <c r="BQ2" s="8"/>
      <c r="BR2" s="8" t="s">
        <v>2</v>
      </c>
      <c r="BS2" s="11" t="s">
        <v>3</v>
      </c>
    </row>
    <row r="3" spans="1:73" s="9" customFormat="1" ht="12.75" customHeight="1" thickTop="1">
      <c r="A3" s="12"/>
      <c r="C3" s="13" t="s">
        <v>4</v>
      </c>
      <c r="E3" s="9" t="s">
        <v>5</v>
      </c>
      <c r="F3" s="9" t="s">
        <v>6</v>
      </c>
      <c r="G3" s="14" t="s">
        <v>7</v>
      </c>
      <c r="H3" s="15" t="s">
        <v>8</v>
      </c>
      <c r="I3" s="9" t="s">
        <v>9</v>
      </c>
      <c r="J3" s="9" t="s">
        <v>10</v>
      </c>
      <c r="K3" s="9" t="s">
        <v>11</v>
      </c>
      <c r="N3" s="9" t="s">
        <v>12</v>
      </c>
      <c r="O3" s="9" t="s">
        <v>13</v>
      </c>
      <c r="P3" s="9" t="s">
        <v>14</v>
      </c>
      <c r="Q3" s="9" t="s">
        <v>15</v>
      </c>
      <c r="R3" s="9" t="s">
        <v>16</v>
      </c>
      <c r="S3" s="16" t="s">
        <v>17</v>
      </c>
      <c r="T3" s="9" t="s">
        <v>18</v>
      </c>
      <c r="U3" s="9" t="s">
        <v>19</v>
      </c>
      <c r="V3" s="9" t="s">
        <v>20</v>
      </c>
      <c r="W3" s="9" t="s">
        <v>21</v>
      </c>
      <c r="X3" s="9" t="s">
        <v>22</v>
      </c>
      <c r="AC3" s="9" t="s">
        <v>23</v>
      </c>
      <c r="AD3" s="9" t="s">
        <v>24</v>
      </c>
      <c r="AE3" s="9" t="s">
        <v>25</v>
      </c>
      <c r="AF3" s="9" t="s">
        <v>26</v>
      </c>
      <c r="AG3" s="9" t="s">
        <v>27</v>
      </c>
      <c r="AH3" s="9" t="s">
        <v>28</v>
      </c>
      <c r="AI3" s="17" t="s">
        <v>29</v>
      </c>
      <c r="AJ3" s="18" t="s">
        <v>30</v>
      </c>
      <c r="AK3" s="19" t="s">
        <v>31</v>
      </c>
      <c r="AL3" s="20" t="s">
        <v>32</v>
      </c>
      <c r="AM3" s="20" t="s">
        <v>32</v>
      </c>
      <c r="AN3" s="21"/>
      <c r="AO3" s="20" t="s">
        <v>32</v>
      </c>
      <c r="AP3" s="21"/>
      <c r="AQ3" s="20" t="s">
        <v>32</v>
      </c>
      <c r="AR3" s="22" t="s">
        <v>33</v>
      </c>
      <c r="AS3" s="23" t="s">
        <v>34</v>
      </c>
      <c r="AT3" s="24">
        <v>42185</v>
      </c>
      <c r="AU3" s="18" t="s">
        <v>30</v>
      </c>
      <c r="AV3" s="25">
        <v>39994</v>
      </c>
      <c r="AW3" s="26" t="s">
        <v>35</v>
      </c>
      <c r="AX3" s="18" t="s">
        <v>30</v>
      </c>
      <c r="AY3" s="27" t="s">
        <v>36</v>
      </c>
      <c r="AZ3" s="28"/>
      <c r="BA3" s="28"/>
      <c r="BB3" s="28" t="s">
        <v>37</v>
      </c>
      <c r="BC3" s="28"/>
      <c r="BD3" s="28" t="s">
        <v>38</v>
      </c>
      <c r="BE3" s="9" t="s">
        <v>39</v>
      </c>
      <c r="BF3" s="9" t="s">
        <v>40</v>
      </c>
      <c r="BG3" s="9" t="s">
        <v>34</v>
      </c>
      <c r="BH3" s="9" t="s">
        <v>41</v>
      </c>
      <c r="BI3" s="9" t="s">
        <v>42</v>
      </c>
      <c r="BJ3" s="9" t="s">
        <v>43</v>
      </c>
      <c r="BK3" s="9" t="s">
        <v>44</v>
      </c>
      <c r="BL3" s="9" t="s">
        <v>45</v>
      </c>
      <c r="BM3" s="9" t="s">
        <v>46</v>
      </c>
      <c r="BN3" s="9" t="s">
        <v>47</v>
      </c>
      <c r="BO3" s="10" t="s">
        <v>48</v>
      </c>
      <c r="BP3" s="10" t="s">
        <v>49</v>
      </c>
      <c r="BQ3" s="10" t="s">
        <v>50</v>
      </c>
      <c r="BR3" s="10" t="s">
        <v>51</v>
      </c>
      <c r="BS3" s="10" t="s">
        <v>52</v>
      </c>
    </row>
    <row r="4" spans="1:73" s="9" customFormat="1">
      <c r="A4" s="9" t="s">
        <v>53</v>
      </c>
      <c r="B4" s="9" t="s">
        <v>54</v>
      </c>
      <c r="C4" s="29"/>
      <c r="D4" s="9" t="s">
        <v>55</v>
      </c>
      <c r="E4" s="9" t="s">
        <v>56</v>
      </c>
      <c r="F4" s="9" t="s">
        <v>56</v>
      </c>
      <c r="G4" s="14" t="s">
        <v>56</v>
      </c>
      <c r="H4" s="15" t="s">
        <v>57</v>
      </c>
      <c r="I4" s="9" t="s">
        <v>58</v>
      </c>
      <c r="J4" s="9" t="s">
        <v>59</v>
      </c>
      <c r="K4" s="9" t="s">
        <v>60</v>
      </c>
      <c r="L4" s="9" t="s">
        <v>61</v>
      </c>
      <c r="M4" s="9" t="s">
        <v>62</v>
      </c>
      <c r="N4" s="9" t="s">
        <v>63</v>
      </c>
      <c r="O4" s="9" t="s">
        <v>64</v>
      </c>
      <c r="P4" s="9" t="s">
        <v>65</v>
      </c>
      <c r="Q4" s="9" t="s">
        <v>66</v>
      </c>
      <c r="R4" s="9" t="s">
        <v>67</v>
      </c>
      <c r="S4" s="9" t="s">
        <v>68</v>
      </c>
      <c r="T4" s="9" t="s">
        <v>69</v>
      </c>
      <c r="U4" s="9" t="s">
        <v>70</v>
      </c>
      <c r="V4" s="9" t="s">
        <v>69</v>
      </c>
      <c r="W4" s="9" t="s">
        <v>69</v>
      </c>
      <c r="X4" s="9" t="s">
        <v>69</v>
      </c>
      <c r="Y4" s="9" t="s">
        <v>71</v>
      </c>
      <c r="Z4" s="9" t="s">
        <v>72</v>
      </c>
      <c r="AA4" s="9" t="s">
        <v>73</v>
      </c>
      <c r="AB4" s="9" t="s">
        <v>74</v>
      </c>
      <c r="AC4" s="9" t="s">
        <v>69</v>
      </c>
      <c r="AD4" s="9" t="s">
        <v>69</v>
      </c>
      <c r="AE4" s="9" t="s">
        <v>69</v>
      </c>
      <c r="AF4" s="9" t="s">
        <v>69</v>
      </c>
      <c r="AG4" s="9" t="s">
        <v>69</v>
      </c>
      <c r="AH4" s="9" t="s">
        <v>69</v>
      </c>
      <c r="AI4" s="9" t="s">
        <v>75</v>
      </c>
      <c r="AJ4" s="30" t="s">
        <v>76</v>
      </c>
      <c r="AK4" s="15" t="s">
        <v>75</v>
      </c>
      <c r="AL4" s="31" t="s">
        <v>77</v>
      </c>
      <c r="AM4" s="31" t="s">
        <v>78</v>
      </c>
      <c r="AN4" s="31" t="s">
        <v>79</v>
      </c>
      <c r="AO4" s="31" t="s">
        <v>80</v>
      </c>
      <c r="AP4" s="31" t="s">
        <v>81</v>
      </c>
      <c r="AQ4" s="31" t="s">
        <v>82</v>
      </c>
      <c r="AR4" s="32" t="s">
        <v>83</v>
      </c>
      <c r="AS4" s="33" t="s">
        <v>82</v>
      </c>
      <c r="AT4" s="9" t="s">
        <v>84</v>
      </c>
      <c r="AU4" s="30" t="s">
        <v>85</v>
      </c>
      <c r="AV4" s="15" t="s">
        <v>84</v>
      </c>
      <c r="AW4" s="12" t="s">
        <v>86</v>
      </c>
      <c r="AX4" s="30" t="s">
        <v>87</v>
      </c>
      <c r="AY4" s="28" t="s">
        <v>86</v>
      </c>
      <c r="AZ4" s="28" t="s">
        <v>88</v>
      </c>
      <c r="BA4" s="28" t="s">
        <v>89</v>
      </c>
      <c r="BB4" s="28" t="s">
        <v>90</v>
      </c>
      <c r="BC4" s="28" t="s">
        <v>38</v>
      </c>
      <c r="BD4" s="28" t="s">
        <v>90</v>
      </c>
      <c r="BE4" s="9" t="s">
        <v>90</v>
      </c>
      <c r="BF4" s="9" t="s">
        <v>90</v>
      </c>
      <c r="BG4" s="9" t="s">
        <v>90</v>
      </c>
      <c r="BH4" s="9" t="s">
        <v>90</v>
      </c>
      <c r="BI4" s="9" t="s">
        <v>90</v>
      </c>
      <c r="BJ4" s="9" t="s">
        <v>90</v>
      </c>
      <c r="BK4" s="9" t="s">
        <v>90</v>
      </c>
      <c r="BL4" s="9" t="s">
        <v>90</v>
      </c>
      <c r="BM4" s="9" t="s">
        <v>90</v>
      </c>
      <c r="BN4" s="9" t="s">
        <v>90</v>
      </c>
      <c r="BO4" s="10" t="s">
        <v>90</v>
      </c>
      <c r="BP4" s="10" t="s">
        <v>90</v>
      </c>
      <c r="BQ4" s="10" t="s">
        <v>90</v>
      </c>
      <c r="BR4" s="10" t="s">
        <v>90</v>
      </c>
      <c r="BS4" s="10" t="s">
        <v>90</v>
      </c>
      <c r="BT4" s="9" t="s">
        <v>53</v>
      </c>
      <c r="BU4" s="9" t="s">
        <v>54</v>
      </c>
    </row>
    <row r="5" spans="1:73" s="9" customFormat="1" ht="12" thickBot="1">
      <c r="C5" s="34" t="s">
        <v>91</v>
      </c>
      <c r="D5" s="35"/>
      <c r="E5" s="35" t="s">
        <v>92</v>
      </c>
      <c r="F5" s="35" t="s">
        <v>93</v>
      </c>
      <c r="G5" s="36" t="s">
        <v>94</v>
      </c>
      <c r="H5" s="37" t="s">
        <v>95</v>
      </c>
      <c r="I5" s="35" t="s">
        <v>95</v>
      </c>
      <c r="J5" s="35" t="s">
        <v>95</v>
      </c>
      <c r="K5" s="35" t="s">
        <v>95</v>
      </c>
      <c r="L5" s="35" t="s">
        <v>96</v>
      </c>
      <c r="M5" s="35" t="s">
        <v>97</v>
      </c>
      <c r="N5" s="35"/>
      <c r="O5" s="35" t="s">
        <v>98</v>
      </c>
      <c r="P5" s="35" t="s">
        <v>99</v>
      </c>
      <c r="Q5" s="35" t="s">
        <v>99</v>
      </c>
      <c r="R5" s="35" t="s">
        <v>100</v>
      </c>
      <c r="S5" s="38" t="s">
        <v>101</v>
      </c>
      <c r="T5" s="35" t="s">
        <v>102</v>
      </c>
      <c r="U5" s="35" t="s">
        <v>103</v>
      </c>
      <c r="V5" s="35" t="s">
        <v>104</v>
      </c>
      <c r="W5" s="35" t="s">
        <v>60</v>
      </c>
      <c r="X5" s="35" t="s">
        <v>105</v>
      </c>
      <c r="Y5" s="35" t="s">
        <v>106</v>
      </c>
      <c r="Z5" s="35" t="s">
        <v>107</v>
      </c>
      <c r="AA5" s="35"/>
      <c r="AB5" s="35" t="s">
        <v>108</v>
      </c>
      <c r="AC5" s="35" t="s">
        <v>109</v>
      </c>
      <c r="AD5" s="35" t="s">
        <v>110</v>
      </c>
      <c r="AE5" s="35" t="s">
        <v>111</v>
      </c>
      <c r="AF5" s="35" t="s">
        <v>112</v>
      </c>
      <c r="AG5" s="35" t="s">
        <v>113</v>
      </c>
      <c r="AH5" s="35" t="s">
        <v>114</v>
      </c>
      <c r="AI5" s="35" t="s">
        <v>115</v>
      </c>
      <c r="AJ5" s="39" t="s">
        <v>116</v>
      </c>
      <c r="AK5" s="37" t="s">
        <v>115</v>
      </c>
      <c r="AL5" s="40" t="s">
        <v>68</v>
      </c>
      <c r="AM5" s="40" t="s">
        <v>117</v>
      </c>
      <c r="AN5" s="40" t="s">
        <v>118</v>
      </c>
      <c r="AO5" s="40" t="s">
        <v>119</v>
      </c>
      <c r="AP5" s="40" t="s">
        <v>118</v>
      </c>
      <c r="AQ5" s="40" t="s">
        <v>91</v>
      </c>
      <c r="AR5" s="41" t="s">
        <v>75</v>
      </c>
      <c r="AS5" s="42" t="s">
        <v>91</v>
      </c>
      <c r="AT5" s="35" t="s">
        <v>120</v>
      </c>
      <c r="AU5" s="39" t="s">
        <v>34</v>
      </c>
      <c r="AV5" s="37" t="s">
        <v>120</v>
      </c>
      <c r="AW5" s="43" t="s">
        <v>121</v>
      </c>
      <c r="AX5" s="39">
        <v>41590</v>
      </c>
      <c r="AY5" s="44" t="s">
        <v>121</v>
      </c>
      <c r="AZ5" s="28"/>
      <c r="BA5" s="28"/>
      <c r="BB5" s="28" t="s">
        <v>39</v>
      </c>
      <c r="BC5" s="28"/>
      <c r="BD5" s="28" t="str">
        <f>(BB5)</f>
        <v>2010-2011</v>
      </c>
      <c r="BE5" s="9" t="s">
        <v>122</v>
      </c>
      <c r="BF5" s="9" t="s">
        <v>123</v>
      </c>
      <c r="BG5" s="9" t="s">
        <v>124</v>
      </c>
      <c r="BH5" s="9" t="s">
        <v>125</v>
      </c>
      <c r="BI5" s="9" t="s">
        <v>126</v>
      </c>
      <c r="BJ5" s="9" t="s">
        <v>127</v>
      </c>
      <c r="BK5" s="9" t="s">
        <v>128</v>
      </c>
      <c r="BL5" s="9" t="s">
        <v>129</v>
      </c>
      <c r="BM5" s="9" t="s">
        <v>130</v>
      </c>
      <c r="BO5" s="10"/>
      <c r="BP5" s="10" t="s">
        <v>131</v>
      </c>
      <c r="BQ5" s="10" t="s">
        <v>132</v>
      </c>
      <c r="BR5" s="10" t="s">
        <v>133</v>
      </c>
      <c r="BS5" s="10" t="s">
        <v>134</v>
      </c>
    </row>
    <row r="6" spans="1:73" s="58" customFormat="1" ht="36.75" customHeight="1" thickTop="1">
      <c r="A6" s="45" t="s">
        <v>135</v>
      </c>
      <c r="B6" s="46" t="s">
        <v>136</v>
      </c>
      <c r="C6" s="47"/>
      <c r="D6" s="47"/>
      <c r="E6" s="48"/>
      <c r="F6" s="48"/>
      <c r="G6" s="48"/>
      <c r="H6" s="48"/>
      <c r="I6" s="48">
        <v>1253136.21</v>
      </c>
      <c r="J6" s="48">
        <v>360</v>
      </c>
      <c r="K6" s="48"/>
      <c r="L6" s="48"/>
      <c r="M6" s="48"/>
      <c r="N6" s="48">
        <v>8869.84</v>
      </c>
      <c r="O6" s="48"/>
      <c r="P6" s="48"/>
      <c r="Q6" s="48">
        <f>14901.06+560.07</f>
        <v>15461.13</v>
      </c>
      <c r="R6" s="48"/>
      <c r="S6" s="48"/>
      <c r="T6" s="48"/>
      <c r="U6" s="48"/>
      <c r="V6" s="48">
        <v>12954</v>
      </c>
      <c r="W6" s="48"/>
      <c r="X6" s="48"/>
      <c r="Y6" s="48">
        <v>26821.35</v>
      </c>
      <c r="Z6" s="48"/>
      <c r="AA6" s="48"/>
      <c r="AB6" s="48"/>
      <c r="AC6" s="48"/>
      <c r="AD6" s="48"/>
      <c r="AE6" s="48"/>
      <c r="AF6" s="48">
        <v>2563.44</v>
      </c>
      <c r="AG6" s="48">
        <v>13484.75</v>
      </c>
      <c r="AH6" s="48">
        <v>5010.63</v>
      </c>
      <c r="AI6" s="49">
        <f>SUM(C6:AH6)-(H6)</f>
        <v>1338661.3499999999</v>
      </c>
      <c r="AJ6" s="50">
        <f>(AI6-AK6)</f>
        <v>-56119.469999999972</v>
      </c>
      <c r="AK6" s="51">
        <f>'[2]12-13 for 14-15 Asmt (updated)'!AI6</f>
        <v>1394780.8199999998</v>
      </c>
      <c r="AL6" s="48">
        <v>67359.23</v>
      </c>
      <c r="AM6" s="48">
        <f>8869.84+6000</f>
        <v>14869.84</v>
      </c>
      <c r="AN6" s="48" t="s">
        <v>137</v>
      </c>
      <c r="AO6" s="48"/>
      <c r="AP6" s="48"/>
      <c r="AQ6" s="48">
        <v>599184</v>
      </c>
      <c r="AR6" s="52">
        <f>(AQ6/AI6)</f>
        <v>0.44759938725354254</v>
      </c>
      <c r="AS6" s="51">
        <f>'[1]08-09 for 10-11 Asmt'!AQ6</f>
        <v>560462.96</v>
      </c>
      <c r="AT6" s="51">
        <f>SUM(AL6+AM6+AO6+AQ6)</f>
        <v>681413.07</v>
      </c>
      <c r="AU6" s="50">
        <f t="shared" ref="AU6:AU69" si="0">(AT6-AV6)</f>
        <v>58627.189999999944</v>
      </c>
      <c r="AV6" s="51">
        <f>'[1]08-09 for 10-11 Asmt'!AT6</f>
        <v>622785.88</v>
      </c>
      <c r="AW6" s="48">
        <f t="shared" ref="AW6:AW69" si="1">(AI6-AT6)</f>
        <v>657248.27999999991</v>
      </c>
      <c r="AX6" s="50">
        <f t="shared" ref="AX6:AX69" si="2">(AW6-AY6)</f>
        <v>7455.9799999999814</v>
      </c>
      <c r="AY6" s="51">
        <f>'[1]10-11 for 12-13 Asmt'!AW6</f>
        <v>649792.29999999993</v>
      </c>
      <c r="AZ6" s="53"/>
      <c r="BA6" s="54"/>
      <c r="BB6" s="55"/>
      <c r="BC6" s="56"/>
      <c r="BD6" s="57"/>
      <c r="BE6" s="57">
        <f>SUM(BC6:BD6)</f>
        <v>0</v>
      </c>
      <c r="BF6" s="57">
        <v>75952.834447283632</v>
      </c>
      <c r="BG6" s="55">
        <v>62157</v>
      </c>
      <c r="BH6" s="57">
        <v>48207.776583678802</v>
      </c>
      <c r="BI6" s="57">
        <v>47257</v>
      </c>
      <c r="BJ6" s="57">
        <v>53990</v>
      </c>
      <c r="BK6" s="57">
        <v>47896.338584167788</v>
      </c>
      <c r="BL6" s="56">
        <v>74385</v>
      </c>
      <c r="BM6" s="56">
        <v>47198</v>
      </c>
      <c r="BN6" s="56">
        <v>47103</v>
      </c>
      <c r="BO6" s="56">
        <v>49124</v>
      </c>
      <c r="BP6" s="56">
        <v>35946</v>
      </c>
      <c r="BQ6" s="56">
        <v>37797</v>
      </c>
      <c r="BR6" s="56">
        <v>34244.324989071261</v>
      </c>
      <c r="BS6" s="56">
        <v>26436.365624535989</v>
      </c>
      <c r="BT6" s="57"/>
      <c r="BU6" s="46" t="s">
        <v>138</v>
      </c>
    </row>
    <row r="7" spans="1:73" ht="12" customHeight="1">
      <c r="A7" s="45" t="s">
        <v>139</v>
      </c>
      <c r="B7" s="46" t="s">
        <v>136</v>
      </c>
      <c r="C7" s="59"/>
      <c r="D7" s="59">
        <v>670</v>
      </c>
      <c r="E7" s="60"/>
      <c r="F7" s="60"/>
      <c r="G7" s="60"/>
      <c r="H7" s="60"/>
      <c r="I7" s="60">
        <v>39759.24</v>
      </c>
      <c r="J7" s="60"/>
      <c r="K7" s="60">
        <v>95</v>
      </c>
      <c r="L7" s="60"/>
      <c r="M7" s="60"/>
      <c r="N7" s="60"/>
      <c r="O7" s="60"/>
      <c r="P7" s="60">
        <v>281</v>
      </c>
      <c r="Q7" s="60"/>
      <c r="R7" s="60"/>
      <c r="S7" s="60"/>
      <c r="T7" s="60"/>
      <c r="U7" s="60"/>
      <c r="V7" s="60">
        <v>120</v>
      </c>
      <c r="W7" s="60"/>
      <c r="X7" s="60"/>
      <c r="Y7" s="60"/>
      <c r="Z7" s="60"/>
      <c r="AA7" s="60"/>
      <c r="AB7" s="60"/>
      <c r="AC7" s="60"/>
      <c r="AD7" s="60">
        <v>638.45000000000005</v>
      </c>
      <c r="AE7" s="60"/>
      <c r="AF7" s="60">
        <v>7003.96</v>
      </c>
      <c r="AG7" s="60"/>
      <c r="AH7" s="60">
        <v>2191.6999999999998</v>
      </c>
      <c r="AI7" s="49">
        <f t="shared" ref="AI7:AI70" si="3">SUM(C7:AH7)-(H7)</f>
        <v>50759.349999999991</v>
      </c>
      <c r="AJ7" s="50">
        <f t="shared" ref="AJ7:AJ70" si="4">(AI7-AK7)</f>
        <v>7964.9999999999854</v>
      </c>
      <c r="AK7" s="51">
        <f>'[2]12-13 for 14-15 Asmt (updated)'!AI7</f>
        <v>42794.350000000006</v>
      </c>
      <c r="AL7" s="48">
        <v>346.46</v>
      </c>
      <c r="AM7" s="48">
        <f>2722.12+863.11</f>
        <v>3585.23</v>
      </c>
      <c r="AN7" s="60" t="s">
        <v>140</v>
      </c>
      <c r="AO7" s="48"/>
      <c r="AP7" s="48"/>
      <c r="AQ7" s="48">
        <v>6759.02</v>
      </c>
      <c r="AR7" s="52">
        <f t="shared" ref="AR7:AR70" si="5">(AQ7/AI7)</f>
        <v>0.13315812751739337</v>
      </c>
      <c r="AS7" s="51">
        <f>'[1]08-09 for 10-11 Asmt'!AQ7</f>
        <v>3527.04</v>
      </c>
      <c r="AT7" s="51">
        <f t="shared" ref="AT7:AT70" si="6">SUM(AL7+AM7+AO7+AQ7)</f>
        <v>10690.710000000001</v>
      </c>
      <c r="AU7" s="50">
        <f t="shared" si="0"/>
        <v>5329.5000000000009</v>
      </c>
      <c r="AV7" s="51">
        <f>'[1]08-09 for 10-11 Asmt'!AT7</f>
        <v>5361.21</v>
      </c>
      <c r="AW7" s="48">
        <f t="shared" si="1"/>
        <v>40068.639999999992</v>
      </c>
      <c r="AX7" s="50">
        <f t="shared" si="2"/>
        <v>12549.759999999987</v>
      </c>
      <c r="AY7" s="51">
        <f>'[1]10-11 for 12-13 Asmt'!AW7</f>
        <v>27518.880000000005</v>
      </c>
      <c r="AZ7" s="61"/>
      <c r="BA7" s="61"/>
      <c r="BB7" s="62"/>
      <c r="BC7" s="63"/>
      <c r="BD7" s="62"/>
      <c r="BE7" s="62">
        <v>1318</v>
      </c>
      <c r="BF7" s="62">
        <v>1232.6480000000001</v>
      </c>
      <c r="BG7" s="62">
        <v>1289</v>
      </c>
      <c r="BH7" s="64">
        <v>500</v>
      </c>
      <c r="BI7" s="64">
        <v>500</v>
      </c>
      <c r="BJ7" s="64">
        <v>500</v>
      </c>
      <c r="BK7" s="64">
        <v>500</v>
      </c>
      <c r="BL7" s="63">
        <v>500</v>
      </c>
      <c r="BM7" s="63">
        <v>500</v>
      </c>
      <c r="BN7" s="63">
        <v>500</v>
      </c>
      <c r="BO7" s="63">
        <v>525</v>
      </c>
      <c r="BP7" s="63">
        <v>565</v>
      </c>
      <c r="BQ7" s="63">
        <v>1038</v>
      </c>
      <c r="BR7" s="63">
        <v>1563.6212752836959</v>
      </c>
      <c r="BS7" s="63">
        <v>1801.2245231573754</v>
      </c>
      <c r="BT7" s="64"/>
      <c r="BU7" s="65" t="s">
        <v>136</v>
      </c>
    </row>
    <row r="8" spans="1:73" s="58" customFormat="1" ht="34.5" customHeight="1">
      <c r="A8" s="45" t="s">
        <v>141</v>
      </c>
      <c r="B8" s="46" t="s">
        <v>142</v>
      </c>
      <c r="C8" s="47"/>
      <c r="D8" s="47"/>
      <c r="E8" s="48">
        <v>279594.96000000002</v>
      </c>
      <c r="F8" s="48"/>
      <c r="G8" s="48"/>
      <c r="H8" s="48"/>
      <c r="I8" s="48">
        <v>442484</v>
      </c>
      <c r="J8" s="48"/>
      <c r="K8" s="48"/>
      <c r="L8" s="48"/>
      <c r="M8" s="48"/>
      <c r="N8" s="48"/>
      <c r="O8" s="48"/>
      <c r="P8" s="48"/>
      <c r="Q8" s="48">
        <v>926.76</v>
      </c>
      <c r="R8" s="48"/>
      <c r="S8" s="48"/>
      <c r="T8" s="48"/>
      <c r="U8" s="48"/>
      <c r="V8" s="48">
        <v>-185</v>
      </c>
      <c r="W8" s="48"/>
      <c r="X8" s="48"/>
      <c r="Y8" s="48"/>
      <c r="Z8" s="48"/>
      <c r="AA8" s="48"/>
      <c r="AB8" s="48"/>
      <c r="AC8" s="48"/>
      <c r="AD8" s="48"/>
      <c r="AE8" s="48"/>
      <c r="AF8" s="48"/>
      <c r="AG8" s="48"/>
      <c r="AH8" s="48"/>
      <c r="AI8" s="49">
        <f t="shared" si="3"/>
        <v>722820.72</v>
      </c>
      <c r="AJ8" s="50">
        <f t="shared" si="4"/>
        <v>222221.5799999999</v>
      </c>
      <c r="AK8" s="51">
        <f>'[2]12-13 for 14-15 Asmt (updated)'!AI8</f>
        <v>500599.14000000007</v>
      </c>
      <c r="AL8" s="48">
        <v>16300</v>
      </c>
      <c r="AM8" s="48">
        <f>279595+4025</f>
        <v>283620</v>
      </c>
      <c r="AN8" s="54" t="s">
        <v>143</v>
      </c>
      <c r="AO8" s="48"/>
      <c r="AP8" s="48"/>
      <c r="AQ8" s="48">
        <v>182641</v>
      </c>
      <c r="AR8" s="52">
        <f t="shared" si="5"/>
        <v>0.25267814680243256</v>
      </c>
      <c r="AS8" s="51">
        <f>'[1]08-09 for 10-11 Asmt'!AQ8</f>
        <v>209390.74</v>
      </c>
      <c r="AT8" s="51">
        <f t="shared" si="6"/>
        <v>482561</v>
      </c>
      <c r="AU8" s="50">
        <f t="shared" si="0"/>
        <v>196759.95</v>
      </c>
      <c r="AV8" s="51">
        <f>'[1]08-09 for 10-11 Asmt'!AT8</f>
        <v>285801.05</v>
      </c>
      <c r="AW8" s="48">
        <f t="shared" si="1"/>
        <v>240259.71999999997</v>
      </c>
      <c r="AX8" s="50">
        <f t="shared" si="2"/>
        <v>98909.279999999795</v>
      </c>
      <c r="AY8" s="51">
        <f>'[1]10-11 for 12-13 Asmt'!AW8</f>
        <v>141350.44000000018</v>
      </c>
      <c r="AZ8" s="54" t="s">
        <v>144</v>
      </c>
      <c r="BA8" s="66" t="s">
        <v>145</v>
      </c>
      <c r="BB8" s="57"/>
      <c r="BC8" s="56"/>
      <c r="BD8" s="57"/>
      <c r="BE8" s="57">
        <f>SUM(BC8:BD8)</f>
        <v>0</v>
      </c>
      <c r="BF8" s="57">
        <v>40218.094877835523</v>
      </c>
      <c r="BG8" s="57">
        <v>39957</v>
      </c>
      <c r="BH8" s="57">
        <v>30782.263384326066</v>
      </c>
      <c r="BI8" s="57">
        <v>36340</v>
      </c>
      <c r="BJ8" s="57">
        <v>36161</v>
      </c>
      <c r="BK8" s="57">
        <v>27914.290105553901</v>
      </c>
      <c r="BL8" s="56">
        <v>34223</v>
      </c>
      <c r="BM8" s="56">
        <v>28616</v>
      </c>
      <c r="BN8" s="56">
        <v>28664</v>
      </c>
      <c r="BO8" s="56">
        <v>27664</v>
      </c>
      <c r="BP8" s="56">
        <v>24716</v>
      </c>
      <c r="BQ8" s="56">
        <v>19565</v>
      </c>
      <c r="BR8" s="56">
        <v>20082.824276612297</v>
      </c>
      <c r="BS8" s="56">
        <v>23734</v>
      </c>
      <c r="BT8" s="57"/>
      <c r="BU8" s="46" t="s">
        <v>142</v>
      </c>
    </row>
    <row r="9" spans="1:73" s="58" customFormat="1" ht="22.5">
      <c r="A9" s="45" t="s">
        <v>141</v>
      </c>
      <c r="B9" s="46" t="s">
        <v>146</v>
      </c>
      <c r="C9" s="47"/>
      <c r="D9" s="47"/>
      <c r="E9" s="48">
        <v>3049.09</v>
      </c>
      <c r="F9" s="48">
        <v>250</v>
      </c>
      <c r="G9" s="48"/>
      <c r="H9" s="48"/>
      <c r="I9" s="48">
        <v>48000.800000000003</v>
      </c>
      <c r="J9" s="48">
        <v>113</v>
      </c>
      <c r="K9" s="48">
        <f>7400+22962.89</f>
        <v>30362.89</v>
      </c>
      <c r="L9" s="48"/>
      <c r="M9" s="48"/>
      <c r="N9" s="48"/>
      <c r="O9" s="48"/>
      <c r="P9" s="48"/>
      <c r="Q9" s="48">
        <v>60.56</v>
      </c>
      <c r="R9" s="48"/>
      <c r="S9" s="48"/>
      <c r="T9" s="48"/>
      <c r="U9" s="48">
        <v>177</v>
      </c>
      <c r="V9" s="48">
        <v>30</v>
      </c>
      <c r="W9" s="48"/>
      <c r="X9" s="48"/>
      <c r="Y9" s="48"/>
      <c r="Z9" s="48">
        <v>22140.46</v>
      </c>
      <c r="AA9" s="48"/>
      <c r="AB9" s="48"/>
      <c r="AC9" s="48"/>
      <c r="AD9" s="48">
        <f>485.67+6.4</f>
        <v>492.07</v>
      </c>
      <c r="AE9" s="48"/>
      <c r="AF9" s="48"/>
      <c r="AG9" s="48"/>
      <c r="AH9" s="48">
        <v>5358.21</v>
      </c>
      <c r="AI9" s="49">
        <f t="shared" si="3"/>
        <v>110034.08</v>
      </c>
      <c r="AJ9" s="50">
        <f t="shared" si="4"/>
        <v>9876.2500000000437</v>
      </c>
      <c r="AK9" s="51">
        <f>'[2]12-13 for 14-15 Asmt (updated)'!AI9</f>
        <v>100157.82999999996</v>
      </c>
      <c r="AL9" s="48">
        <v>1286.06</v>
      </c>
      <c r="AM9" s="48">
        <v>177</v>
      </c>
      <c r="AN9" s="48" t="s">
        <v>147</v>
      </c>
      <c r="AO9" s="48">
        <f>22962.89+7400</f>
        <v>30362.89</v>
      </c>
      <c r="AP9" s="54"/>
      <c r="AQ9" s="48"/>
      <c r="AR9" s="52">
        <f t="shared" si="5"/>
        <v>0</v>
      </c>
      <c r="AS9" s="51" t="e">
        <f>'[1]08-09 for 10-11 Asmt'!AQ9</f>
        <v>#REF!</v>
      </c>
      <c r="AT9" s="51">
        <f t="shared" si="6"/>
        <v>31825.95</v>
      </c>
      <c r="AU9" s="50">
        <f t="shared" si="0"/>
        <v>-117142.36</v>
      </c>
      <c r="AV9" s="51">
        <f>'[1]08-09 for 10-11 Asmt'!AT9</f>
        <v>148968.31</v>
      </c>
      <c r="AW9" s="48">
        <f t="shared" si="1"/>
        <v>78208.13</v>
      </c>
      <c r="AX9" s="50">
        <f t="shared" si="2"/>
        <v>26443.78</v>
      </c>
      <c r="AY9" s="51">
        <f>'[1]10-11 for 12-13 Asmt'!AW9</f>
        <v>51764.350000000006</v>
      </c>
      <c r="AZ9" s="54"/>
      <c r="BA9" s="54" t="s">
        <v>148</v>
      </c>
      <c r="BB9" s="57"/>
      <c r="BC9" s="56"/>
      <c r="BD9" s="57"/>
      <c r="BE9" s="57">
        <v>2602</v>
      </c>
      <c r="BF9" s="57">
        <v>2773.0475000000006</v>
      </c>
      <c r="BG9" s="57">
        <v>1967</v>
      </c>
      <c r="BH9" s="57">
        <v>1250</v>
      </c>
      <c r="BI9" s="57">
        <v>5335</v>
      </c>
      <c r="BJ9" s="57">
        <v>5869</v>
      </c>
      <c r="BK9" s="57">
        <v>6493.0289605767002</v>
      </c>
      <c r="BL9" s="56">
        <v>5716</v>
      </c>
      <c r="BM9" s="56">
        <v>5435</v>
      </c>
      <c r="BN9" s="56">
        <v>5084</v>
      </c>
      <c r="BO9" s="56">
        <v>4719</v>
      </c>
      <c r="BP9" s="56">
        <v>1084</v>
      </c>
      <c r="BQ9" s="56">
        <v>1072</v>
      </c>
      <c r="BR9" s="56">
        <v>2293.6002674896899</v>
      </c>
      <c r="BS9" s="56">
        <v>2096.7026722640344</v>
      </c>
      <c r="BT9" s="57"/>
      <c r="BU9" s="46" t="s">
        <v>146</v>
      </c>
    </row>
    <row r="10" spans="1:73" s="58" customFormat="1" ht="56.25">
      <c r="A10" s="45" t="s">
        <v>149</v>
      </c>
      <c r="B10" s="46" t="s">
        <v>150</v>
      </c>
      <c r="C10" s="47"/>
      <c r="D10" s="47"/>
      <c r="E10" s="48"/>
      <c r="F10" s="48"/>
      <c r="G10" s="48"/>
      <c r="H10" s="48"/>
      <c r="I10" s="48">
        <v>19819.84</v>
      </c>
      <c r="J10" s="48"/>
      <c r="K10" s="48">
        <v>2033</v>
      </c>
      <c r="L10" s="48"/>
      <c r="M10" s="48"/>
      <c r="N10" s="48"/>
      <c r="O10" s="48"/>
      <c r="P10" s="48"/>
      <c r="Q10" s="48">
        <f>11.46+4697.89</f>
        <v>4709.3500000000004</v>
      </c>
      <c r="R10" s="48"/>
      <c r="S10" s="48"/>
      <c r="T10" s="48"/>
      <c r="U10" s="48">
        <v>90</v>
      </c>
      <c r="V10" s="48"/>
      <c r="W10" s="48"/>
      <c r="X10" s="48"/>
      <c r="Y10" s="48"/>
      <c r="Z10" s="48"/>
      <c r="AA10" s="48"/>
      <c r="AB10" s="48"/>
      <c r="AC10" s="48"/>
      <c r="AD10" s="48">
        <v>20</v>
      </c>
      <c r="AE10" s="48"/>
      <c r="AF10" s="48"/>
      <c r="AG10" s="48"/>
      <c r="AH10" s="48"/>
      <c r="AI10" s="49">
        <f t="shared" si="3"/>
        <v>26672.190000000002</v>
      </c>
      <c r="AJ10" s="50">
        <f t="shared" si="4"/>
        <v>-3714.5499999999993</v>
      </c>
      <c r="AK10" s="51">
        <f>'[2]12-13 for 14-15 Asmt (updated)'!AI10</f>
        <v>30386.74</v>
      </c>
      <c r="AL10" s="48">
        <v>2447.54</v>
      </c>
      <c r="AM10" s="48">
        <f>1108+90</f>
        <v>1198</v>
      </c>
      <c r="AN10" s="48" t="s">
        <v>151</v>
      </c>
      <c r="AO10" s="48"/>
      <c r="AP10" s="48"/>
      <c r="AQ10" s="48"/>
      <c r="AR10" s="52">
        <f t="shared" si="5"/>
        <v>0</v>
      </c>
      <c r="AS10" s="51" t="e">
        <f>'[1]08-09 for 10-11 Asmt'!AQ10</f>
        <v>#REF!</v>
      </c>
      <c r="AT10" s="51">
        <f t="shared" si="6"/>
        <v>3645.54</v>
      </c>
      <c r="AU10" s="50">
        <f t="shared" si="0"/>
        <v>-849.05000000000018</v>
      </c>
      <c r="AV10" s="51">
        <f>'[1]08-09 for 10-11 Asmt'!AT10</f>
        <v>4494.59</v>
      </c>
      <c r="AW10" s="48">
        <f t="shared" si="1"/>
        <v>23026.65</v>
      </c>
      <c r="AX10" s="50">
        <f t="shared" si="2"/>
        <v>-21369.509999999995</v>
      </c>
      <c r="AY10" s="51">
        <f>'[1]10-11 for 12-13 Asmt'!AW10</f>
        <v>44396.159999999996</v>
      </c>
      <c r="AZ10" s="54"/>
      <c r="BA10" s="54" t="s">
        <v>152</v>
      </c>
      <c r="BB10" s="57"/>
      <c r="BC10" s="56"/>
      <c r="BD10" s="57"/>
      <c r="BE10" s="57">
        <v>1341</v>
      </c>
      <c r="BF10" s="57">
        <v>1283.1315000000002</v>
      </c>
      <c r="BG10" s="57">
        <v>1039</v>
      </c>
      <c r="BH10" s="57">
        <v>500</v>
      </c>
      <c r="BI10" s="57">
        <v>750</v>
      </c>
      <c r="BJ10" s="57">
        <v>4708</v>
      </c>
      <c r="BK10" s="57">
        <v>6240.5901998713998</v>
      </c>
      <c r="BL10" s="56">
        <v>6499</v>
      </c>
      <c r="BM10" s="56">
        <v>4400</v>
      </c>
      <c r="BN10" s="56">
        <v>2200</v>
      </c>
      <c r="BO10" s="56">
        <v>1100</v>
      </c>
      <c r="BP10" s="56">
        <v>1093</v>
      </c>
      <c r="BQ10" s="56">
        <v>1074</v>
      </c>
      <c r="BR10" s="56">
        <v>2301.7704581746525</v>
      </c>
      <c r="BS10" s="56">
        <v>2295.4342109768891</v>
      </c>
      <c r="BT10" s="57"/>
      <c r="BU10" s="46" t="s">
        <v>150</v>
      </c>
    </row>
    <row r="11" spans="1:73" s="58" customFormat="1" ht="22.5">
      <c r="A11" s="45" t="s">
        <v>153</v>
      </c>
      <c r="B11" s="46" t="s">
        <v>154</v>
      </c>
      <c r="C11" s="47"/>
      <c r="D11" s="47"/>
      <c r="E11" s="48">
        <v>80.81</v>
      </c>
      <c r="F11" s="48"/>
      <c r="G11" s="48"/>
      <c r="H11" s="48"/>
      <c r="I11" s="48">
        <v>93462.97</v>
      </c>
      <c r="J11" s="48"/>
      <c r="K11" s="48">
        <f>1920.26+2535</f>
        <v>4455.26</v>
      </c>
      <c r="L11" s="48">
        <v>994.75</v>
      </c>
      <c r="M11" s="48">
        <v>658</v>
      </c>
      <c r="N11" s="48"/>
      <c r="O11" s="48"/>
      <c r="P11" s="48"/>
      <c r="Q11" s="48">
        <v>158.63999999999999</v>
      </c>
      <c r="R11" s="48"/>
      <c r="S11" s="48"/>
      <c r="T11" s="48">
        <v>1600</v>
      </c>
      <c r="U11" s="48">
        <v>251.75</v>
      </c>
      <c r="V11" s="48"/>
      <c r="W11" s="48"/>
      <c r="X11" s="48"/>
      <c r="Y11" s="48"/>
      <c r="Z11" s="48"/>
      <c r="AA11" s="48"/>
      <c r="AB11" s="48"/>
      <c r="AC11" s="48"/>
      <c r="AD11" s="48">
        <v>214</v>
      </c>
      <c r="AE11" s="48"/>
      <c r="AF11" s="48"/>
      <c r="AG11" s="48">
        <v>12704.95</v>
      </c>
      <c r="AH11" s="48">
        <f>23181.15+21148</f>
        <v>44329.15</v>
      </c>
      <c r="AI11" s="49">
        <f t="shared" si="3"/>
        <v>158910.28</v>
      </c>
      <c r="AJ11" s="50">
        <f t="shared" si="4"/>
        <v>-6060.9799999999814</v>
      </c>
      <c r="AK11" s="51">
        <f>'[2]12-13 for 14-15 Asmt (updated)'!AI11</f>
        <v>164971.25999999998</v>
      </c>
      <c r="AL11" s="48">
        <v>448.98</v>
      </c>
      <c r="AM11" s="48">
        <f>29038.5+1920.26+251.75+1600+994.75+658</f>
        <v>34463.259999999995</v>
      </c>
      <c r="AN11" s="48" t="s">
        <v>155</v>
      </c>
      <c r="AO11" s="48"/>
      <c r="AP11" s="48"/>
      <c r="AQ11" s="48">
        <v>11200</v>
      </c>
      <c r="AR11" s="52">
        <f t="shared" si="5"/>
        <v>7.0480021808532467E-2</v>
      </c>
      <c r="AS11" s="51">
        <f>'[1]08-09 for 10-11 Asmt'!AQ11</f>
        <v>6000</v>
      </c>
      <c r="AT11" s="51">
        <f t="shared" si="6"/>
        <v>46112.24</v>
      </c>
      <c r="AU11" s="50">
        <f t="shared" si="0"/>
        <v>812.69999999999709</v>
      </c>
      <c r="AV11" s="51">
        <f>'[1]08-09 for 10-11 Asmt'!AT11</f>
        <v>45299.54</v>
      </c>
      <c r="AW11" s="48">
        <f t="shared" si="1"/>
        <v>112798.04000000001</v>
      </c>
      <c r="AX11" s="50">
        <f t="shared" si="2"/>
        <v>35047.63999999997</v>
      </c>
      <c r="AY11" s="51">
        <f>'[1]10-11 for 12-13 Asmt'!AW11</f>
        <v>77750.400000000038</v>
      </c>
      <c r="AZ11" s="54"/>
      <c r="BA11" s="54" t="s">
        <v>156</v>
      </c>
      <c r="BB11" s="57"/>
      <c r="BC11" s="56"/>
      <c r="BD11" s="57"/>
      <c r="BE11" s="57">
        <f>SUM(BC11:BD11)</f>
        <v>0</v>
      </c>
      <c r="BF11" s="57">
        <v>13302.374058628653</v>
      </c>
      <c r="BG11" s="57">
        <v>12766</v>
      </c>
      <c r="BH11" s="57">
        <v>15181.993973236642</v>
      </c>
      <c r="BI11" s="57">
        <v>8842</v>
      </c>
      <c r="BJ11" s="57">
        <v>7241</v>
      </c>
      <c r="BK11" s="57">
        <v>7500.8099729633195</v>
      </c>
      <c r="BL11" s="56">
        <v>8401</v>
      </c>
      <c r="BM11" s="56">
        <v>6674</v>
      </c>
      <c r="BN11" s="56">
        <v>8066</v>
      </c>
      <c r="BO11" s="56">
        <v>8536</v>
      </c>
      <c r="BP11" s="56">
        <v>8150</v>
      </c>
      <c r="BQ11" s="56">
        <v>7508</v>
      </c>
      <c r="BR11" s="56">
        <v>6456.472283727976</v>
      </c>
      <c r="BS11" s="56">
        <v>7605.4113619545669</v>
      </c>
      <c r="BT11" s="57"/>
      <c r="BU11" s="46" t="s">
        <v>154</v>
      </c>
    </row>
    <row r="12" spans="1:73" ht="23.25" customHeight="1">
      <c r="A12" s="45" t="s">
        <v>157</v>
      </c>
      <c r="B12" s="46" t="s">
        <v>158</v>
      </c>
      <c r="C12" s="59"/>
      <c r="D12" s="59">
        <f>24504+8000</f>
        <v>32504</v>
      </c>
      <c r="E12" s="60">
        <f>5648.56+9888.75+4200+600+3615.12+5208.55</f>
        <v>29160.98</v>
      </c>
      <c r="F12" s="60"/>
      <c r="G12" s="60"/>
      <c r="H12" s="60"/>
      <c r="I12" s="60">
        <f>1468881.2+10</f>
        <v>1468891.2</v>
      </c>
      <c r="J12" s="60"/>
      <c r="K12" s="60"/>
      <c r="L12" s="60"/>
      <c r="M12" s="60"/>
      <c r="N12" s="60"/>
      <c r="O12" s="60"/>
      <c r="P12" s="60">
        <v>147.86000000000001</v>
      </c>
      <c r="Q12" s="60">
        <v>2221.38</v>
      </c>
      <c r="R12" s="60"/>
      <c r="S12" s="60"/>
      <c r="T12" s="60">
        <v>26041.62</v>
      </c>
      <c r="U12" s="60"/>
      <c r="V12" s="60">
        <f>2400+150+3150</f>
        <v>5700</v>
      </c>
      <c r="W12" s="60"/>
      <c r="X12" s="60"/>
      <c r="Y12" s="60"/>
      <c r="Z12" s="60"/>
      <c r="AA12" s="60"/>
      <c r="AB12" s="60">
        <v>296.91000000000003</v>
      </c>
      <c r="AC12" s="60"/>
      <c r="AD12" s="60">
        <f>2737.25+945+205+20</f>
        <v>3907.25</v>
      </c>
      <c r="AE12" s="60"/>
      <c r="AF12" s="60"/>
      <c r="AG12" s="60"/>
      <c r="AH12" s="60"/>
      <c r="AI12" s="49">
        <f t="shared" si="3"/>
        <v>1568871.2</v>
      </c>
      <c r="AJ12" s="50">
        <f t="shared" si="4"/>
        <v>70979.199999999953</v>
      </c>
      <c r="AK12" s="51">
        <f>'[2]12-13 for 14-15 Asmt (updated)'!AI12</f>
        <v>1497892</v>
      </c>
      <c r="AL12" s="48">
        <v>63200</v>
      </c>
      <c r="AM12" s="48">
        <f>6000+24504+8000+3615.12+26041.62</f>
        <v>68160.740000000005</v>
      </c>
      <c r="AN12" s="60" t="s">
        <v>159</v>
      </c>
      <c r="AO12" s="48"/>
      <c r="AP12" s="48"/>
      <c r="AQ12" s="48">
        <v>605400</v>
      </c>
      <c r="AR12" s="52">
        <f t="shared" si="5"/>
        <v>0.38588253771246489</v>
      </c>
      <c r="AS12" s="51">
        <f>'[1]08-09 for 10-11 Asmt'!AQ12</f>
        <v>580600</v>
      </c>
      <c r="AT12" s="51">
        <f t="shared" si="6"/>
        <v>736760.74</v>
      </c>
      <c r="AU12" s="50">
        <f t="shared" si="0"/>
        <v>55180.739999999991</v>
      </c>
      <c r="AV12" s="51">
        <f>'[1]08-09 for 10-11 Asmt'!AT12</f>
        <v>681580</v>
      </c>
      <c r="AW12" s="48">
        <f t="shared" si="1"/>
        <v>832110.46</v>
      </c>
      <c r="AX12" s="50">
        <f t="shared" si="2"/>
        <v>88776.459999999963</v>
      </c>
      <c r="AY12" s="51">
        <f>'[1]10-11 for 12-13 Asmt'!AW12</f>
        <v>743334</v>
      </c>
      <c r="AZ12" s="61" t="s">
        <v>160</v>
      </c>
      <c r="BA12" s="61" t="s">
        <v>161</v>
      </c>
      <c r="BB12" s="64"/>
      <c r="BC12" s="63"/>
      <c r="BD12" s="64"/>
      <c r="BE12" s="64">
        <f>SUM(BC12:BD12)</f>
        <v>0</v>
      </c>
      <c r="BF12" s="64">
        <v>98466.23731941302</v>
      </c>
      <c r="BG12" s="64">
        <v>109322</v>
      </c>
      <c r="BH12" s="64">
        <v>107958.76443700958</v>
      </c>
      <c r="BI12" s="64">
        <v>102880</v>
      </c>
      <c r="BJ12" s="64">
        <v>82570</v>
      </c>
      <c r="BK12" s="64">
        <v>88698.197097187993</v>
      </c>
      <c r="BL12" s="63">
        <v>81467</v>
      </c>
      <c r="BM12" s="63">
        <v>74291</v>
      </c>
      <c r="BN12" s="63">
        <v>79239</v>
      </c>
      <c r="BO12" s="63">
        <v>66465</v>
      </c>
      <c r="BP12" s="63">
        <v>62412</v>
      </c>
      <c r="BQ12" s="63">
        <v>63082</v>
      </c>
      <c r="BR12" s="63">
        <v>53612.141988045507</v>
      </c>
      <c r="BS12" s="63">
        <v>48364</v>
      </c>
      <c r="BT12" s="64"/>
      <c r="BU12" s="65" t="s">
        <v>162</v>
      </c>
    </row>
    <row r="13" spans="1:73" s="58" customFormat="1">
      <c r="A13" s="45" t="s">
        <v>163</v>
      </c>
      <c r="B13" s="46" t="s">
        <v>164</v>
      </c>
      <c r="C13" s="47"/>
      <c r="D13" s="47"/>
      <c r="E13" s="48"/>
      <c r="F13" s="48"/>
      <c r="G13" s="48"/>
      <c r="H13" s="48"/>
      <c r="I13" s="48">
        <v>101633.51</v>
      </c>
      <c r="J13" s="48"/>
      <c r="K13" s="48">
        <f>700+2000</f>
        <v>2700</v>
      </c>
      <c r="L13" s="48"/>
      <c r="M13" s="48"/>
      <c r="N13" s="48"/>
      <c r="O13" s="48"/>
      <c r="P13" s="48"/>
      <c r="Q13" s="48">
        <v>4.03</v>
      </c>
      <c r="R13" s="48"/>
      <c r="S13" s="48"/>
      <c r="T13" s="48"/>
      <c r="U13" s="48"/>
      <c r="V13" s="48"/>
      <c r="W13" s="48"/>
      <c r="X13" s="48"/>
      <c r="Y13" s="48"/>
      <c r="Z13" s="48"/>
      <c r="AA13" s="48"/>
      <c r="AB13" s="48"/>
      <c r="AC13" s="48"/>
      <c r="AD13" s="48">
        <v>11708</v>
      </c>
      <c r="AE13" s="48"/>
      <c r="AF13" s="48"/>
      <c r="AG13" s="48"/>
      <c r="AH13" s="48">
        <v>3195</v>
      </c>
      <c r="AI13" s="49">
        <f t="shared" si="3"/>
        <v>119240.54</v>
      </c>
      <c r="AJ13" s="50">
        <f t="shared" si="4"/>
        <v>18472.809999999998</v>
      </c>
      <c r="AK13" s="51">
        <f>'[2]12-13 for 14-15 Asmt (updated)'!AI13</f>
        <v>100767.73</v>
      </c>
      <c r="AL13" s="48">
        <v>7309.99</v>
      </c>
      <c r="AM13" s="48"/>
      <c r="AN13" s="48"/>
      <c r="AO13" s="48"/>
      <c r="AP13" s="48"/>
      <c r="AQ13" s="48"/>
      <c r="AR13" s="52">
        <f t="shared" si="5"/>
        <v>0</v>
      </c>
      <c r="AS13" s="51" t="e">
        <f>'[1]08-09 for 10-11 Asmt'!AQ13</f>
        <v>#REF!</v>
      </c>
      <c r="AT13" s="51">
        <f t="shared" si="6"/>
        <v>7309.99</v>
      </c>
      <c r="AU13" s="50">
        <f t="shared" si="0"/>
        <v>-88227.86</v>
      </c>
      <c r="AV13" s="51">
        <f>'[1]08-09 for 10-11 Asmt'!AT13</f>
        <v>95537.85</v>
      </c>
      <c r="AW13" s="48">
        <f t="shared" si="1"/>
        <v>111930.54999999999</v>
      </c>
      <c r="AX13" s="50">
        <f t="shared" si="2"/>
        <v>39357.910000000003</v>
      </c>
      <c r="AY13" s="51">
        <f>'[1]10-11 for 12-13 Asmt'!AW13</f>
        <v>72572.639999999985</v>
      </c>
      <c r="AZ13" s="54"/>
      <c r="BA13" s="54"/>
      <c r="BB13" s="57"/>
      <c r="BC13" s="56"/>
      <c r="BD13" s="57"/>
      <c r="BE13" s="57">
        <f>SUM(BC13:BD13)</f>
        <v>0</v>
      </c>
      <c r="BF13" s="57">
        <v>11715.905088598338</v>
      </c>
      <c r="BG13" s="57">
        <v>14502</v>
      </c>
      <c r="BH13" s="57">
        <v>13630.029460085105</v>
      </c>
      <c r="BI13" s="57">
        <v>10083</v>
      </c>
      <c r="BJ13" s="57">
        <v>8687</v>
      </c>
      <c r="BK13" s="57">
        <v>7943.7905687187595</v>
      </c>
      <c r="BL13" s="56">
        <v>7832</v>
      </c>
      <c r="BM13" s="56">
        <v>7889</v>
      </c>
      <c r="BN13" s="56">
        <v>7625</v>
      </c>
      <c r="BO13" s="56">
        <v>7726</v>
      </c>
      <c r="BP13" s="56">
        <v>6866</v>
      </c>
      <c r="BQ13" s="56">
        <v>6026</v>
      </c>
      <c r="BR13" s="56">
        <v>6565.9668575960877</v>
      </c>
      <c r="BS13" s="56">
        <v>5429.9868625157842</v>
      </c>
      <c r="BT13" s="57"/>
      <c r="BU13" s="46" t="s">
        <v>164</v>
      </c>
    </row>
    <row r="14" spans="1:73" s="58" customFormat="1" ht="33.75">
      <c r="A14" s="45" t="s">
        <v>165</v>
      </c>
      <c r="B14" s="46" t="s">
        <v>166</v>
      </c>
      <c r="C14" s="47">
        <v>35302</v>
      </c>
      <c r="D14" s="47">
        <v>5000</v>
      </c>
      <c r="E14" s="48"/>
      <c r="F14" s="48"/>
      <c r="G14" s="48"/>
      <c r="H14" s="48"/>
      <c r="I14" s="48">
        <v>1254835.44</v>
      </c>
      <c r="J14" s="48">
        <v>149.44</v>
      </c>
      <c r="K14" s="48">
        <f>12183.38+1678</f>
        <v>13861.38</v>
      </c>
      <c r="L14" s="48"/>
      <c r="M14" s="48">
        <v>681399.4</v>
      </c>
      <c r="N14" s="48"/>
      <c r="O14" s="48"/>
      <c r="P14" s="48"/>
      <c r="Q14" s="48">
        <v>9230.33</v>
      </c>
      <c r="R14" s="48">
        <v>780.59</v>
      </c>
      <c r="S14" s="48">
        <f>7325+5623+4244+5080+3380</f>
        <v>25652</v>
      </c>
      <c r="T14" s="48"/>
      <c r="U14" s="48">
        <v>2015</v>
      </c>
      <c r="V14" s="48">
        <v>33002.9</v>
      </c>
      <c r="W14" s="48"/>
      <c r="X14" s="48"/>
      <c r="Y14" s="48"/>
      <c r="Z14" s="48"/>
      <c r="AA14" s="48"/>
      <c r="AB14" s="48">
        <f>42699.96+1767+465+3057+9581.96+4928+6135.86-5000</f>
        <v>63634.78</v>
      </c>
      <c r="AC14" s="48"/>
      <c r="AD14" s="48"/>
      <c r="AE14" s="48">
        <v>213914.3</v>
      </c>
      <c r="AF14" s="48"/>
      <c r="AG14" s="48"/>
      <c r="AH14" s="48"/>
      <c r="AI14" s="49">
        <f t="shared" si="3"/>
        <v>2338777.5599999996</v>
      </c>
      <c r="AJ14" s="50">
        <f t="shared" si="4"/>
        <v>433595.54999999912</v>
      </c>
      <c r="AK14" s="51">
        <f>'[2]12-13 for 14-15 Asmt (updated)'!AI14</f>
        <v>1905182.0100000005</v>
      </c>
      <c r="AL14" s="48">
        <v>110300.68</v>
      </c>
      <c r="AM14" s="48">
        <f>2015+5000+35302+213914.3</f>
        <v>256231.3</v>
      </c>
      <c r="AN14" s="54" t="s">
        <v>167</v>
      </c>
      <c r="AO14" s="48">
        <f>589155.73+92243.67</f>
        <v>681399.4</v>
      </c>
      <c r="AP14" s="48"/>
      <c r="AQ14" s="48">
        <v>273192</v>
      </c>
      <c r="AR14" s="52">
        <f t="shared" si="5"/>
        <v>0.11680974055523265</v>
      </c>
      <c r="AS14" s="51">
        <f>'[1]08-09 for 10-11 Asmt'!AQ14</f>
        <v>266625.8</v>
      </c>
      <c r="AT14" s="51">
        <f t="shared" si="6"/>
        <v>1321123.3799999999</v>
      </c>
      <c r="AU14" s="50">
        <f t="shared" si="0"/>
        <v>189498.93999999994</v>
      </c>
      <c r="AV14" s="51">
        <f>'[1]08-09 for 10-11 Asmt'!AT14</f>
        <v>1131624.44</v>
      </c>
      <c r="AW14" s="48">
        <f>(AI14-AT14)</f>
        <v>1017654.1799999997</v>
      </c>
      <c r="AX14" s="50">
        <f t="shared" si="2"/>
        <v>331785.00999999978</v>
      </c>
      <c r="AY14" s="51">
        <f>'[1]10-11 for 12-13 Asmt'!AW14</f>
        <v>685869.16999999993</v>
      </c>
      <c r="AZ14" s="54" t="s">
        <v>168</v>
      </c>
      <c r="BA14" s="54" t="s">
        <v>169</v>
      </c>
      <c r="BB14" s="57"/>
      <c r="BC14" s="56"/>
      <c r="BD14" s="57"/>
      <c r="BE14" s="57">
        <f>SUM(BC14:BD14)</f>
        <v>0</v>
      </c>
      <c r="BF14" s="57">
        <v>101545.85676773894</v>
      </c>
      <c r="BG14" s="57">
        <v>116511</v>
      </c>
      <c r="BH14" s="57">
        <v>99467.733212686057</v>
      </c>
      <c r="BI14" s="57">
        <v>64763</v>
      </c>
      <c r="BJ14" s="57">
        <v>85912</v>
      </c>
      <c r="BK14" s="57">
        <v>73807.785577032526</v>
      </c>
      <c r="BL14" s="56">
        <v>86742</v>
      </c>
      <c r="BM14" s="56">
        <v>68717</v>
      </c>
      <c r="BN14" s="56">
        <v>60755</v>
      </c>
      <c r="BO14" s="56">
        <v>64232</v>
      </c>
      <c r="BP14" s="56">
        <v>50703</v>
      </c>
      <c r="BQ14" s="56">
        <v>45614</v>
      </c>
      <c r="BR14" s="56">
        <v>19198.980328194</v>
      </c>
      <c r="BS14" s="56">
        <v>23574.451447432588</v>
      </c>
      <c r="BT14" s="57"/>
      <c r="BU14" s="46" t="s">
        <v>166</v>
      </c>
    </row>
    <row r="15" spans="1:73" ht="12" customHeight="1">
      <c r="A15" s="45" t="s">
        <v>170</v>
      </c>
      <c r="B15" s="46" t="s">
        <v>171</v>
      </c>
      <c r="C15" s="59"/>
      <c r="D15" s="59"/>
      <c r="E15" s="60"/>
      <c r="F15" s="60"/>
      <c r="G15" s="60"/>
      <c r="H15" s="60"/>
      <c r="I15" s="60">
        <v>33793.25</v>
      </c>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49">
        <f t="shared" si="3"/>
        <v>33793.25</v>
      </c>
      <c r="AJ15" s="50">
        <f t="shared" si="4"/>
        <v>913.25</v>
      </c>
      <c r="AK15" s="51">
        <f>'[2]12-13 for 14-15 Asmt (updated)'!AI15</f>
        <v>32880</v>
      </c>
      <c r="AL15" s="48"/>
      <c r="AM15" s="48"/>
      <c r="AN15" s="60"/>
      <c r="AO15" s="48"/>
      <c r="AP15" s="48"/>
      <c r="AQ15" s="48"/>
      <c r="AR15" s="52">
        <f t="shared" si="5"/>
        <v>0</v>
      </c>
      <c r="AS15" s="51" t="e">
        <f>'[1]08-09 for 10-11 Asmt'!AQ15</f>
        <v>#REF!</v>
      </c>
      <c r="AT15" s="51">
        <f t="shared" si="6"/>
        <v>0</v>
      </c>
      <c r="AU15" s="50">
        <f t="shared" si="0"/>
        <v>-5266.59</v>
      </c>
      <c r="AV15" s="51">
        <f>'[1]08-09 for 10-11 Asmt'!AT15</f>
        <v>5266.59</v>
      </c>
      <c r="AW15" s="48">
        <f t="shared" si="1"/>
        <v>33793.25</v>
      </c>
      <c r="AX15" s="50">
        <f t="shared" si="2"/>
        <v>-2995.9100000000035</v>
      </c>
      <c r="AY15" s="51">
        <f>'[1]10-11 for 12-13 Asmt'!AW15</f>
        <v>36789.160000000003</v>
      </c>
      <c r="AZ15" s="60"/>
      <c r="BA15" s="60"/>
      <c r="BB15" s="62"/>
      <c r="BC15" s="63"/>
      <c r="BD15" s="62"/>
      <c r="BE15" s="62">
        <v>1857</v>
      </c>
      <c r="BF15" s="62">
        <v>1871.5845000000002</v>
      </c>
      <c r="BG15" s="62">
        <v>1911</v>
      </c>
      <c r="BH15" s="64">
        <v>1000</v>
      </c>
      <c r="BI15" s="64">
        <v>1000</v>
      </c>
      <c r="BJ15" s="64">
        <v>500</v>
      </c>
      <c r="BK15" s="64">
        <v>1000</v>
      </c>
      <c r="BL15" s="63">
        <v>500</v>
      </c>
      <c r="BM15" s="63">
        <v>500</v>
      </c>
      <c r="BN15" s="63">
        <v>500</v>
      </c>
      <c r="BO15" s="63">
        <v>525</v>
      </c>
      <c r="BP15" s="63">
        <v>556</v>
      </c>
      <c r="BQ15" s="63">
        <v>1068</v>
      </c>
      <c r="BR15" s="63">
        <v>1671.8480185382916</v>
      </c>
      <c r="BS15" s="63">
        <v>1000</v>
      </c>
      <c r="BT15" s="64"/>
      <c r="BU15" s="65" t="s">
        <v>171</v>
      </c>
    </row>
    <row r="16" spans="1:73" ht="12" customHeight="1">
      <c r="A16" s="45" t="s">
        <v>172</v>
      </c>
      <c r="B16" s="46" t="s">
        <v>136</v>
      </c>
      <c r="C16" s="59"/>
      <c r="D16" s="59"/>
      <c r="E16" s="60">
        <v>835</v>
      </c>
      <c r="F16" s="60"/>
      <c r="G16" s="60"/>
      <c r="H16" s="60"/>
      <c r="I16" s="60">
        <v>1193740.43</v>
      </c>
      <c r="J16" s="60"/>
      <c r="K16" s="60">
        <v>3994</v>
      </c>
      <c r="L16" s="60"/>
      <c r="M16" s="60">
        <v>964</v>
      </c>
      <c r="N16" s="60"/>
      <c r="O16" s="60"/>
      <c r="P16" s="60"/>
      <c r="Q16" s="60">
        <v>12968.85</v>
      </c>
      <c r="R16" s="60"/>
      <c r="S16" s="60">
        <f>2548+175</f>
        <v>2723</v>
      </c>
      <c r="T16" s="60"/>
      <c r="U16" s="60"/>
      <c r="V16" s="60">
        <v>4989.5</v>
      </c>
      <c r="W16" s="60">
        <v>1302.02</v>
      </c>
      <c r="X16" s="60"/>
      <c r="Y16" s="60"/>
      <c r="Z16" s="60"/>
      <c r="AA16" s="60"/>
      <c r="AB16" s="60"/>
      <c r="AC16" s="60"/>
      <c r="AD16" s="60">
        <f>2801+615.08</f>
        <v>3416.08</v>
      </c>
      <c r="AE16" s="60"/>
      <c r="AF16" s="60">
        <v>42841.66</v>
      </c>
      <c r="AG16" s="60"/>
      <c r="AH16" s="60"/>
      <c r="AI16" s="49">
        <f t="shared" si="3"/>
        <v>1267774.54</v>
      </c>
      <c r="AJ16" s="50">
        <f t="shared" si="4"/>
        <v>-260.29000000003725</v>
      </c>
      <c r="AK16" s="51">
        <f>'[2]12-13 for 14-15 Asmt (updated)'!AI16</f>
        <v>1268034.83</v>
      </c>
      <c r="AL16" s="48">
        <v>42591.87</v>
      </c>
      <c r="AM16" s="48">
        <f>21896.99+28617.69+1302.02</f>
        <v>51816.7</v>
      </c>
      <c r="AN16" s="60" t="s">
        <v>173</v>
      </c>
      <c r="AO16" s="48"/>
      <c r="AP16" s="48"/>
      <c r="AQ16" s="48">
        <f>14807.55+510230.36</f>
        <v>525037.91</v>
      </c>
      <c r="AR16" s="52">
        <f t="shared" si="5"/>
        <v>0.41414138984049959</v>
      </c>
      <c r="AS16" s="51">
        <f>'[1]08-09 for 10-11 Asmt'!AQ16</f>
        <v>493767.63</v>
      </c>
      <c r="AT16" s="51">
        <f t="shared" si="6"/>
        <v>619446.48</v>
      </c>
      <c r="AU16" s="50">
        <f t="shared" si="0"/>
        <v>-32675.420000000042</v>
      </c>
      <c r="AV16" s="51">
        <f>'[1]08-09 for 10-11 Asmt'!AT16</f>
        <v>652121.9</v>
      </c>
      <c r="AW16" s="48">
        <f t="shared" si="1"/>
        <v>648328.06000000006</v>
      </c>
      <c r="AX16" s="50">
        <f t="shared" si="2"/>
        <v>136095.0299999998</v>
      </c>
      <c r="AY16" s="51">
        <f>'[1]10-11 for 12-13 Asmt'!AW16</f>
        <v>512233.03000000026</v>
      </c>
      <c r="AZ16" s="60"/>
      <c r="BA16" s="61" t="s">
        <v>174</v>
      </c>
      <c r="BB16" s="64"/>
      <c r="BC16" s="63"/>
      <c r="BD16" s="64"/>
      <c r="BE16" s="64">
        <f>SUM(BC16:BD16)</f>
        <v>0</v>
      </c>
      <c r="BF16" s="67">
        <v>77448</v>
      </c>
      <c r="BG16" s="64">
        <v>79774</v>
      </c>
      <c r="BH16" s="64">
        <v>72406.645657163579</v>
      </c>
      <c r="BI16" s="64">
        <v>65560</v>
      </c>
      <c r="BJ16" s="64">
        <v>51937</v>
      </c>
      <c r="BK16" s="64">
        <v>55789.760753420938</v>
      </c>
      <c r="BL16" s="63">
        <v>65892</v>
      </c>
      <c r="BM16" s="63">
        <v>51639</v>
      </c>
      <c r="BN16" s="63">
        <v>46960</v>
      </c>
      <c r="BO16" s="63">
        <v>44521</v>
      </c>
      <c r="BP16" s="63">
        <v>32817</v>
      </c>
      <c r="BQ16" s="63">
        <v>33541</v>
      </c>
      <c r="BR16" s="63">
        <v>31941.32359157156</v>
      </c>
      <c r="BS16" s="63">
        <v>35430.463689131931</v>
      </c>
      <c r="BT16" s="64"/>
      <c r="BU16" s="65" t="s">
        <v>136</v>
      </c>
    </row>
    <row r="17" spans="1:227" s="58" customFormat="1" ht="33.75">
      <c r="A17" s="45" t="s">
        <v>175</v>
      </c>
      <c r="B17" s="46" t="s">
        <v>176</v>
      </c>
      <c r="C17" s="47"/>
      <c r="D17" s="47"/>
      <c r="E17" s="48"/>
      <c r="F17" s="48"/>
      <c r="G17" s="48"/>
      <c r="H17" s="48"/>
      <c r="I17" s="48">
        <v>88566.76</v>
      </c>
      <c r="J17" s="48"/>
      <c r="K17" s="48">
        <f>3172+2398.43+1155</f>
        <v>6725.43</v>
      </c>
      <c r="L17" s="48"/>
      <c r="M17" s="48"/>
      <c r="N17" s="48"/>
      <c r="O17" s="48"/>
      <c r="P17" s="48"/>
      <c r="Q17" s="48">
        <f>4.11+2563.05</f>
        <v>2567.1600000000003</v>
      </c>
      <c r="R17" s="48"/>
      <c r="S17" s="48"/>
      <c r="T17" s="48">
        <v>4214.82</v>
      </c>
      <c r="U17" s="48">
        <v>695</v>
      </c>
      <c r="V17" s="48"/>
      <c r="W17" s="48"/>
      <c r="X17" s="48"/>
      <c r="Y17" s="48"/>
      <c r="Z17" s="48">
        <v>2755</v>
      </c>
      <c r="AA17" s="48"/>
      <c r="AB17" s="48"/>
      <c r="AC17" s="48"/>
      <c r="AD17" s="48">
        <v>621</v>
      </c>
      <c r="AE17" s="48"/>
      <c r="AF17" s="48"/>
      <c r="AG17" s="48"/>
      <c r="AH17" s="48"/>
      <c r="AI17" s="49">
        <f t="shared" si="3"/>
        <v>106145.17000000001</v>
      </c>
      <c r="AJ17" s="50">
        <f t="shared" si="4"/>
        <v>1920.4300000000221</v>
      </c>
      <c r="AK17" s="51">
        <f>'[2]12-13 for 14-15 Asmt (updated)'!AI17</f>
        <v>104224.73999999999</v>
      </c>
      <c r="AL17" s="48">
        <v>5764.74</v>
      </c>
      <c r="AM17" s="48">
        <f>3184+695+4214.82</f>
        <v>8093.82</v>
      </c>
      <c r="AN17" s="48" t="s">
        <v>177</v>
      </c>
      <c r="AO17" s="48"/>
      <c r="AP17" s="48"/>
      <c r="AQ17" s="48"/>
      <c r="AR17" s="52">
        <f t="shared" si="5"/>
        <v>0</v>
      </c>
      <c r="AS17" s="51" t="e">
        <f>'[1]08-09 for 10-11 Asmt'!AQ17</f>
        <v>#REF!</v>
      </c>
      <c r="AT17" s="51">
        <f t="shared" si="6"/>
        <v>13858.56</v>
      </c>
      <c r="AU17" s="50">
        <f t="shared" si="0"/>
        <v>-13963.270000000002</v>
      </c>
      <c r="AV17" s="51">
        <f>'[1]08-09 for 10-11 Asmt'!AT17</f>
        <v>27821.83</v>
      </c>
      <c r="AW17" s="48">
        <f t="shared" si="1"/>
        <v>92286.610000000015</v>
      </c>
      <c r="AX17" s="50">
        <f t="shared" si="2"/>
        <v>-678.07999999998719</v>
      </c>
      <c r="AY17" s="51">
        <f>'[1]10-11 for 12-13 Asmt'!AW17</f>
        <v>92964.69</v>
      </c>
      <c r="AZ17" s="54"/>
      <c r="BA17" s="54" t="s">
        <v>178</v>
      </c>
      <c r="BB17" s="57"/>
      <c r="BC17" s="56"/>
      <c r="BD17" s="57"/>
      <c r="BE17" s="57">
        <f>SUM(BC17:BD17)</f>
        <v>0</v>
      </c>
      <c r="BF17" s="57">
        <v>15368.105132745834</v>
      </c>
      <c r="BG17" s="57">
        <v>13611</v>
      </c>
      <c r="BH17" s="57">
        <v>11924.129474367288</v>
      </c>
      <c r="BI17" s="57">
        <v>12452</v>
      </c>
      <c r="BJ17" s="57">
        <v>11778</v>
      </c>
      <c r="BK17" s="57">
        <v>13927.81805886242</v>
      </c>
      <c r="BL17" s="56">
        <v>15458</v>
      </c>
      <c r="BM17" s="56">
        <v>11992</v>
      </c>
      <c r="BN17" s="56">
        <v>13160</v>
      </c>
      <c r="BO17" s="56">
        <v>16246</v>
      </c>
      <c r="BP17" s="56">
        <v>13420</v>
      </c>
      <c r="BQ17" s="56">
        <v>21595</v>
      </c>
      <c r="BR17" s="56">
        <v>11528.29891873178</v>
      </c>
      <c r="BS17" s="56">
        <v>12745.14571584962</v>
      </c>
      <c r="BT17" s="57"/>
      <c r="BU17" s="46" t="s">
        <v>179</v>
      </c>
    </row>
    <row r="18" spans="1:227" ht="12" customHeight="1">
      <c r="A18" s="45" t="s">
        <v>175</v>
      </c>
      <c r="B18" s="46" t="s">
        <v>180</v>
      </c>
      <c r="C18" s="59"/>
      <c r="D18" s="59"/>
      <c r="E18" s="60"/>
      <c r="F18" s="60"/>
      <c r="G18" s="60"/>
      <c r="H18" s="60"/>
      <c r="I18" s="60">
        <v>164834.14000000001</v>
      </c>
      <c r="J18" s="60"/>
      <c r="K18" s="60"/>
      <c r="L18" s="60"/>
      <c r="M18" s="60"/>
      <c r="N18" s="60"/>
      <c r="O18" s="60"/>
      <c r="P18" s="60">
        <v>1633.68</v>
      </c>
      <c r="Q18" s="60">
        <v>15.53</v>
      </c>
      <c r="R18" s="60"/>
      <c r="S18" s="60"/>
      <c r="T18" s="60"/>
      <c r="U18" s="60"/>
      <c r="V18" s="60">
        <v>3945</v>
      </c>
      <c r="W18" s="60"/>
      <c r="X18" s="60">
        <v>13691</v>
      </c>
      <c r="Y18" s="60"/>
      <c r="Z18" s="60"/>
      <c r="AA18" s="60"/>
      <c r="AB18" s="60"/>
      <c r="AC18" s="60"/>
      <c r="AD18" s="60">
        <v>138.01</v>
      </c>
      <c r="AE18" s="60"/>
      <c r="AF18" s="60">
        <v>17585.45</v>
      </c>
      <c r="AG18" s="60"/>
      <c r="AH18" s="60">
        <v>686.95</v>
      </c>
      <c r="AI18" s="49">
        <f t="shared" si="3"/>
        <v>202529.76000000004</v>
      </c>
      <c r="AJ18" s="50">
        <f t="shared" si="4"/>
        <v>-146074.74999999991</v>
      </c>
      <c r="AK18" s="51">
        <f>'[2]12-13 for 14-15 Asmt (updated)'!AI18</f>
        <v>348604.50999999995</v>
      </c>
      <c r="AL18" s="48">
        <v>30067</v>
      </c>
      <c r="AM18" s="48">
        <v>6621.15</v>
      </c>
      <c r="AN18" s="60" t="s">
        <v>181</v>
      </c>
      <c r="AO18" s="48">
        <v>13691</v>
      </c>
      <c r="AP18" s="48"/>
      <c r="AQ18" s="48"/>
      <c r="AR18" s="52">
        <f t="shared" si="5"/>
        <v>0</v>
      </c>
      <c r="AS18" s="51" t="e">
        <f>'[1]08-09 for 10-11 Asmt'!AQ18</f>
        <v>#REF!</v>
      </c>
      <c r="AT18" s="51">
        <f t="shared" si="6"/>
        <v>50379.15</v>
      </c>
      <c r="AU18" s="50">
        <f t="shared" si="0"/>
        <v>23982.68</v>
      </c>
      <c r="AV18" s="51">
        <f>'[1]08-09 for 10-11 Asmt'!AT18</f>
        <v>26396.47</v>
      </c>
      <c r="AW18" s="48">
        <f t="shared" si="1"/>
        <v>152150.61000000004</v>
      </c>
      <c r="AX18" s="50">
        <f t="shared" si="2"/>
        <v>25795.48000000004</v>
      </c>
      <c r="AY18" s="51">
        <f>'[1]10-11 for 12-13 Asmt'!AW18</f>
        <v>126355.13</v>
      </c>
      <c r="AZ18" s="60"/>
      <c r="BA18" s="60"/>
      <c r="BB18" s="64"/>
      <c r="BC18" s="63"/>
      <c r="BD18" s="64"/>
      <c r="BE18" s="64">
        <f>SUM(BC18:BD18)</f>
        <v>0</v>
      </c>
      <c r="BF18" s="64">
        <v>20451.820638794758</v>
      </c>
      <c r="BG18" s="64">
        <v>23760</v>
      </c>
      <c r="BH18" s="64">
        <v>22545.891834711681</v>
      </c>
      <c r="BI18" s="64">
        <v>20883</v>
      </c>
      <c r="BJ18" s="64">
        <v>18025</v>
      </c>
      <c r="BK18" s="64">
        <v>18667.977092449437</v>
      </c>
      <c r="BL18" s="63">
        <v>18022</v>
      </c>
      <c r="BM18" s="63">
        <v>14393</v>
      </c>
      <c r="BN18" s="63">
        <v>13219</v>
      </c>
      <c r="BO18" s="63">
        <v>13671</v>
      </c>
      <c r="BP18" s="63">
        <v>12619</v>
      </c>
      <c r="BQ18" s="63">
        <v>12534</v>
      </c>
      <c r="BR18" s="63">
        <v>10972.199636438938</v>
      </c>
      <c r="BS18" s="63">
        <v>10852.928872003837</v>
      </c>
      <c r="BT18" s="64"/>
      <c r="BU18" s="65" t="s">
        <v>180</v>
      </c>
    </row>
    <row r="19" spans="1:227" s="58" customFormat="1" ht="37.5" customHeight="1">
      <c r="A19" s="45" t="s">
        <v>182</v>
      </c>
      <c r="B19" s="46" t="s">
        <v>183</v>
      </c>
      <c r="C19" s="47">
        <v>11000</v>
      </c>
      <c r="D19" s="47">
        <v>1000</v>
      </c>
      <c r="E19" s="48">
        <v>7443.93</v>
      </c>
      <c r="F19" s="48"/>
      <c r="G19" s="48"/>
      <c r="H19" s="48"/>
      <c r="I19" s="48">
        <v>3223.93</v>
      </c>
      <c r="J19" s="48"/>
      <c r="K19" s="48"/>
      <c r="L19" s="48"/>
      <c r="M19" s="48"/>
      <c r="N19" s="48"/>
      <c r="O19" s="48"/>
      <c r="P19" s="48"/>
      <c r="Q19" s="48"/>
      <c r="R19" s="48"/>
      <c r="S19" s="48"/>
      <c r="T19" s="48"/>
      <c r="U19" s="48"/>
      <c r="V19" s="48"/>
      <c r="W19" s="48"/>
      <c r="X19" s="48"/>
      <c r="Y19" s="48"/>
      <c r="Z19" s="48"/>
      <c r="AA19" s="48"/>
      <c r="AB19" s="48"/>
      <c r="AC19" s="48"/>
      <c r="AD19" s="48">
        <v>0</v>
      </c>
      <c r="AE19" s="48"/>
      <c r="AF19" s="48"/>
      <c r="AG19" s="48"/>
      <c r="AH19" s="48"/>
      <c r="AI19" s="49">
        <f t="shared" si="3"/>
        <v>22667.86</v>
      </c>
      <c r="AJ19" s="50">
        <f t="shared" si="4"/>
        <v>7563.6900000000005</v>
      </c>
      <c r="AK19" s="51">
        <f>'[2]12-13 for 14-15 Asmt (updated)'!AI19</f>
        <v>15104.17</v>
      </c>
      <c r="AL19" s="48"/>
      <c r="AM19" s="48">
        <f>11000+1000</f>
        <v>12000</v>
      </c>
      <c r="AN19" s="48" t="s">
        <v>184</v>
      </c>
      <c r="AO19" s="48"/>
      <c r="AP19" s="48"/>
      <c r="AQ19" s="48"/>
      <c r="AR19" s="52">
        <f t="shared" si="5"/>
        <v>0</v>
      </c>
      <c r="AS19" s="51" t="e">
        <f>'[1]08-09 for 10-11 Asmt'!AQ19</f>
        <v>#REF!</v>
      </c>
      <c r="AT19" s="51">
        <f t="shared" si="6"/>
        <v>12000</v>
      </c>
      <c r="AU19" s="50">
        <f t="shared" si="0"/>
        <v>-351.04999999999927</v>
      </c>
      <c r="AV19" s="51">
        <f>'[1]08-09 for 10-11 Asmt'!AT19</f>
        <v>12351.05</v>
      </c>
      <c r="AW19" s="48">
        <f t="shared" si="1"/>
        <v>10667.86</v>
      </c>
      <c r="AX19" s="50">
        <f t="shared" si="2"/>
        <v>7034.4400000000023</v>
      </c>
      <c r="AY19" s="51">
        <f>'[1]10-11 for 12-13 Asmt'!AW19</f>
        <v>3633.4199999999983</v>
      </c>
      <c r="AZ19" s="54"/>
      <c r="BA19" s="54" t="s">
        <v>185</v>
      </c>
      <c r="BB19" s="57"/>
      <c r="BC19" s="56"/>
      <c r="BD19" s="57"/>
      <c r="BE19" s="57">
        <v>50</v>
      </c>
      <c r="BF19" s="57">
        <v>50</v>
      </c>
      <c r="BG19" s="57">
        <v>50</v>
      </c>
      <c r="BH19" s="57">
        <v>50</v>
      </c>
      <c r="BI19" s="57">
        <v>50</v>
      </c>
      <c r="BJ19" s="57">
        <v>50</v>
      </c>
      <c r="BK19" s="57">
        <v>100</v>
      </c>
      <c r="BL19" s="56">
        <v>100</v>
      </c>
      <c r="BM19" s="56">
        <v>100</v>
      </c>
      <c r="BN19" s="56">
        <v>100</v>
      </c>
      <c r="BO19" s="56">
        <v>110</v>
      </c>
      <c r="BP19" s="56">
        <v>112</v>
      </c>
      <c r="BQ19" s="56">
        <v>100</v>
      </c>
      <c r="BR19" s="56">
        <v>120.63451327435267</v>
      </c>
      <c r="BS19" s="56">
        <v>56.988892955849465</v>
      </c>
      <c r="BT19" s="57"/>
      <c r="BU19" s="46" t="s">
        <v>183</v>
      </c>
    </row>
    <row r="20" spans="1:227" s="58" customFormat="1" ht="35.25" customHeight="1">
      <c r="A20" s="45" t="s">
        <v>186</v>
      </c>
      <c r="B20" s="46" t="s">
        <v>136</v>
      </c>
      <c r="C20" s="47"/>
      <c r="D20" s="47"/>
      <c r="E20" s="48">
        <v>8656.2900000000009</v>
      </c>
      <c r="F20" s="48"/>
      <c r="G20" s="48"/>
      <c r="H20" s="48"/>
      <c r="I20" s="48">
        <v>1070210.69</v>
      </c>
      <c r="J20" s="48"/>
      <c r="K20" s="48">
        <f>4663.35+3086</f>
        <v>7749.35</v>
      </c>
      <c r="L20" s="48"/>
      <c r="M20" s="48">
        <v>69950</v>
      </c>
      <c r="N20" s="48"/>
      <c r="O20" s="48"/>
      <c r="P20" s="48"/>
      <c r="Q20" s="48">
        <v>1596.22</v>
      </c>
      <c r="R20" s="48"/>
      <c r="S20" s="48">
        <v>8349</v>
      </c>
      <c r="T20" s="48"/>
      <c r="U20" s="48">
        <v>1626</v>
      </c>
      <c r="V20" s="48">
        <v>6467</v>
      </c>
      <c r="W20" s="48"/>
      <c r="X20" s="48"/>
      <c r="Y20" s="48"/>
      <c r="Z20" s="48"/>
      <c r="AA20" s="48"/>
      <c r="AB20" s="48"/>
      <c r="AC20" s="48"/>
      <c r="AD20" s="48">
        <v>2774.63</v>
      </c>
      <c r="AE20" s="48">
        <v>355427.27</v>
      </c>
      <c r="AF20" s="48">
        <v>18893.03</v>
      </c>
      <c r="AG20" s="48">
        <f>33182.51+21539.3</f>
        <v>54721.81</v>
      </c>
      <c r="AH20" s="48"/>
      <c r="AI20" s="49">
        <f t="shared" si="3"/>
        <v>1606421.29</v>
      </c>
      <c r="AJ20" s="50">
        <f t="shared" si="4"/>
        <v>125452.62000000034</v>
      </c>
      <c r="AK20" s="51">
        <f>'[2]12-13 for 14-15 Asmt (updated)'!AI20</f>
        <v>1480968.6699999997</v>
      </c>
      <c r="AL20" s="48">
        <f>14676.68+27888.61+4400+1812.8</f>
        <v>48778.090000000004</v>
      </c>
      <c r="AM20" s="48">
        <f>16421.45+6790.93+1626+355427.27+7185.84</f>
        <v>387451.49000000005</v>
      </c>
      <c r="AN20" s="48" t="s">
        <v>187</v>
      </c>
      <c r="AO20" s="48">
        <v>69950</v>
      </c>
      <c r="AP20" s="48"/>
      <c r="AQ20" s="48">
        <v>520956.98</v>
      </c>
      <c r="AR20" s="52">
        <f t="shared" si="5"/>
        <v>0.32429661088468265</v>
      </c>
      <c r="AS20" s="51">
        <f>'[1]08-09 for 10-11 Asmt'!AQ20</f>
        <v>493181.04</v>
      </c>
      <c r="AT20" s="51">
        <f t="shared" si="6"/>
        <v>1027136.56</v>
      </c>
      <c r="AU20" s="50">
        <f t="shared" si="0"/>
        <v>154465.52000000002</v>
      </c>
      <c r="AV20" s="51">
        <f>'[1]08-09 for 10-11 Asmt'!AT20</f>
        <v>872671.04</v>
      </c>
      <c r="AW20" s="48">
        <f t="shared" si="1"/>
        <v>579284.73</v>
      </c>
      <c r="AX20" s="50">
        <f t="shared" si="2"/>
        <v>99042.079999999958</v>
      </c>
      <c r="AY20" s="51">
        <f>'[1]10-11 for 12-13 Asmt'!AW20</f>
        <v>480242.65</v>
      </c>
      <c r="AZ20" s="54"/>
      <c r="BA20" s="54" t="s">
        <v>188</v>
      </c>
      <c r="BB20" s="57"/>
      <c r="BC20" s="56"/>
      <c r="BD20" s="57"/>
      <c r="BE20" s="57">
        <f>SUM(BC20:BD20)</f>
        <v>0</v>
      </c>
      <c r="BF20" s="57">
        <v>70260.562481583416</v>
      </c>
      <c r="BG20" s="57">
        <v>75791</v>
      </c>
      <c r="BH20" s="57">
        <v>67517.284164641358</v>
      </c>
      <c r="BI20" s="57">
        <v>56273</v>
      </c>
      <c r="BJ20" s="57">
        <v>58033</v>
      </c>
      <c r="BK20" s="57">
        <v>56494.22735676603</v>
      </c>
      <c r="BL20" s="56">
        <v>47930</v>
      </c>
      <c r="BM20" s="56">
        <v>41956</v>
      </c>
      <c r="BN20" s="56">
        <v>39491</v>
      </c>
      <c r="BO20" s="56">
        <v>36718</v>
      </c>
      <c r="BP20" s="56">
        <v>38242</v>
      </c>
      <c r="BQ20" s="56">
        <v>37008</v>
      </c>
      <c r="BR20" s="56">
        <v>35914.662924201803</v>
      </c>
      <c r="BS20" s="56">
        <v>23640.412164192156</v>
      </c>
      <c r="BT20" s="57"/>
      <c r="BU20" s="46" t="s">
        <v>138</v>
      </c>
    </row>
    <row r="21" spans="1:227" s="58" customFormat="1" ht="33.75" customHeight="1">
      <c r="A21" s="45" t="s">
        <v>189</v>
      </c>
      <c r="B21" s="46" t="s">
        <v>136</v>
      </c>
      <c r="C21" s="47"/>
      <c r="D21" s="47"/>
      <c r="E21" s="48">
        <f>14660.22+733</f>
        <v>15393.22</v>
      </c>
      <c r="F21" s="48"/>
      <c r="G21" s="48"/>
      <c r="H21" s="48"/>
      <c r="I21" s="48">
        <f>384300.39+352.83</f>
        <v>384653.22000000003</v>
      </c>
      <c r="J21" s="48"/>
      <c r="K21" s="48">
        <v>3893.09</v>
      </c>
      <c r="L21" s="48"/>
      <c r="M21" s="48"/>
      <c r="N21" s="48"/>
      <c r="O21" s="48"/>
      <c r="P21" s="48"/>
      <c r="Q21" s="48">
        <v>92.02</v>
      </c>
      <c r="R21" s="48"/>
      <c r="S21" s="48">
        <v>1471</v>
      </c>
      <c r="T21" s="48"/>
      <c r="U21" s="48"/>
      <c r="V21" s="48">
        <v>2700</v>
      </c>
      <c r="W21" s="48"/>
      <c r="X21" s="48"/>
      <c r="Y21" s="48"/>
      <c r="Z21" s="48">
        <v>32386.22</v>
      </c>
      <c r="AA21" s="48"/>
      <c r="AB21" s="48"/>
      <c r="AC21" s="48"/>
      <c r="AD21" s="48">
        <f>4670.1+845+450</f>
        <v>5965.1</v>
      </c>
      <c r="AE21" s="48"/>
      <c r="AF21" s="48"/>
      <c r="AG21" s="48">
        <v>44844.47</v>
      </c>
      <c r="AH21" s="48">
        <v>38121.31</v>
      </c>
      <c r="AI21" s="49">
        <f t="shared" si="3"/>
        <v>529519.64999999991</v>
      </c>
      <c r="AJ21" s="50">
        <f t="shared" si="4"/>
        <v>72487.959999999905</v>
      </c>
      <c r="AK21" s="51">
        <f>'[2]12-13 for 14-15 Asmt (updated)'!AI21</f>
        <v>457031.69</v>
      </c>
      <c r="AL21" s="48">
        <v>35266.14</v>
      </c>
      <c r="AM21" s="48">
        <f>27682+14048.97</f>
        <v>41730.97</v>
      </c>
      <c r="AN21" s="48" t="s">
        <v>190</v>
      </c>
      <c r="AO21" s="48"/>
      <c r="AP21" s="48"/>
      <c r="AQ21" s="48">
        <v>138000</v>
      </c>
      <c r="AR21" s="52">
        <f t="shared" si="5"/>
        <v>0.26061355796711233</v>
      </c>
      <c r="AS21" s="51">
        <f>'[1]08-09 for 10-11 Asmt'!AQ21</f>
        <v>232524</v>
      </c>
      <c r="AT21" s="51">
        <f t="shared" si="6"/>
        <v>214997.11</v>
      </c>
      <c r="AU21" s="50">
        <f t="shared" si="0"/>
        <v>-78844.770000000019</v>
      </c>
      <c r="AV21" s="51">
        <f>'[1]08-09 for 10-11 Asmt'!AT21</f>
        <v>293841.88</v>
      </c>
      <c r="AW21" s="48">
        <f t="shared" si="1"/>
        <v>314522.53999999992</v>
      </c>
      <c r="AX21" s="50">
        <f t="shared" si="2"/>
        <v>100008.13</v>
      </c>
      <c r="AY21" s="51">
        <f>'[1]10-11 for 12-13 Asmt'!AW21</f>
        <v>214514.40999999992</v>
      </c>
      <c r="AZ21" s="54"/>
      <c r="BA21" s="54" t="s">
        <v>191</v>
      </c>
      <c r="BB21" s="57"/>
      <c r="BC21" s="56"/>
      <c r="BD21" s="57"/>
      <c r="BE21" s="57">
        <f>SUM(BC21:BD21)</f>
        <v>0</v>
      </c>
      <c r="BF21" s="57">
        <v>44142.682936564539</v>
      </c>
      <c r="BG21" s="57">
        <v>49970</v>
      </c>
      <c r="BH21" s="57">
        <v>39923.378989567551</v>
      </c>
      <c r="BI21" s="57">
        <v>36180</v>
      </c>
      <c r="BJ21" s="57">
        <v>25213</v>
      </c>
      <c r="BK21" s="57">
        <v>30565.012519560139</v>
      </c>
      <c r="BL21" s="56">
        <v>34070</v>
      </c>
      <c r="BM21" s="56">
        <v>29704</v>
      </c>
      <c r="BN21" s="56">
        <v>30655</v>
      </c>
      <c r="BO21" s="56">
        <v>24497</v>
      </c>
      <c r="BP21" s="56">
        <v>23733</v>
      </c>
      <c r="BQ21" s="56">
        <v>19918</v>
      </c>
      <c r="BR21" s="56">
        <v>20786.984285732582</v>
      </c>
      <c r="BS21" s="56">
        <v>16896.696494476924</v>
      </c>
      <c r="BT21" s="57"/>
      <c r="BU21" s="46" t="s">
        <v>136</v>
      </c>
    </row>
    <row r="22" spans="1:227" ht="22.5">
      <c r="A22" s="45" t="s">
        <v>192</v>
      </c>
      <c r="B22" s="46" t="s">
        <v>193</v>
      </c>
      <c r="C22" s="59"/>
      <c r="D22" s="59"/>
      <c r="E22" s="60"/>
      <c r="F22" s="60"/>
      <c r="G22" s="60"/>
      <c r="H22" s="60"/>
      <c r="I22" s="60">
        <v>42676.75</v>
      </c>
      <c r="J22" s="60"/>
      <c r="K22" s="60">
        <v>3256.64</v>
      </c>
      <c r="L22" s="60"/>
      <c r="M22" s="60"/>
      <c r="N22" s="60"/>
      <c r="O22" s="60"/>
      <c r="P22" s="60"/>
      <c r="Q22" s="60"/>
      <c r="R22" s="60"/>
      <c r="S22" s="60"/>
      <c r="T22" s="60"/>
      <c r="U22" s="60">
        <v>403</v>
      </c>
      <c r="V22" s="60"/>
      <c r="W22" s="60"/>
      <c r="X22" s="60"/>
      <c r="Y22" s="60"/>
      <c r="Z22" s="60"/>
      <c r="AA22" s="60"/>
      <c r="AB22" s="60"/>
      <c r="AC22" s="60"/>
      <c r="AD22" s="60">
        <v>155</v>
      </c>
      <c r="AE22" s="60"/>
      <c r="AF22" s="60"/>
      <c r="AG22" s="60"/>
      <c r="AH22" s="60"/>
      <c r="AI22" s="49">
        <f t="shared" si="3"/>
        <v>46491.39</v>
      </c>
      <c r="AJ22" s="50">
        <f t="shared" si="4"/>
        <v>3117.3899999999994</v>
      </c>
      <c r="AK22" s="51">
        <f>'[2]12-13 for 14-15 Asmt (updated)'!AI22</f>
        <v>43374</v>
      </c>
      <c r="AL22" s="48">
        <v>4803.5</v>
      </c>
      <c r="AM22" s="48">
        <f>1215+403+729</f>
        <v>2347</v>
      </c>
      <c r="AN22" s="60" t="s">
        <v>194</v>
      </c>
      <c r="AO22" s="48"/>
      <c r="AP22" s="48"/>
      <c r="AQ22" s="48"/>
      <c r="AR22" s="52">
        <f t="shared" si="5"/>
        <v>0</v>
      </c>
      <c r="AS22" s="51" t="e">
        <f>'[1]08-09 for 10-11 Asmt'!AQ22</f>
        <v>#REF!</v>
      </c>
      <c r="AT22" s="51">
        <f t="shared" si="6"/>
        <v>7150.5</v>
      </c>
      <c r="AU22" s="50">
        <f t="shared" si="0"/>
        <v>-19734.13</v>
      </c>
      <c r="AV22" s="51">
        <f>'[1]08-09 for 10-11 Asmt'!AT22</f>
        <v>26884.63</v>
      </c>
      <c r="AW22" s="48">
        <f t="shared" si="1"/>
        <v>39340.89</v>
      </c>
      <c r="AX22" s="50">
        <f t="shared" si="2"/>
        <v>4955.8500000000058</v>
      </c>
      <c r="AY22" s="51">
        <f>'[1]10-11 for 12-13 Asmt'!AW22</f>
        <v>34385.039999999994</v>
      </c>
      <c r="AZ22" s="61"/>
      <c r="BA22" s="61" t="s">
        <v>195</v>
      </c>
      <c r="BB22" s="62"/>
      <c r="BC22" s="63"/>
      <c r="BD22" s="62"/>
      <c r="BE22" s="62">
        <v>1837</v>
      </c>
      <c r="BF22" s="62">
        <v>1697.6655000000001</v>
      </c>
      <c r="BG22" s="62">
        <v>2404</v>
      </c>
      <c r="BH22" s="64">
        <v>500</v>
      </c>
      <c r="BI22" s="64">
        <v>5403</v>
      </c>
      <c r="BJ22" s="64">
        <v>3500</v>
      </c>
      <c r="BK22" s="64">
        <v>1750</v>
      </c>
      <c r="BL22" s="63">
        <v>1750</v>
      </c>
      <c r="BM22" s="63">
        <v>1000</v>
      </c>
      <c r="BN22" s="63">
        <v>1000</v>
      </c>
      <c r="BO22" s="63">
        <v>1100</v>
      </c>
      <c r="BP22" s="63">
        <v>1091</v>
      </c>
      <c r="BQ22" s="63">
        <v>1089</v>
      </c>
      <c r="BR22" s="63">
        <v>3255.8898516959321</v>
      </c>
      <c r="BS22" s="63">
        <v>3876.3007516927632</v>
      </c>
      <c r="BT22" s="64"/>
      <c r="BU22" s="65" t="s">
        <v>193</v>
      </c>
    </row>
    <row r="23" spans="1:227" ht="45">
      <c r="A23" s="45" t="s">
        <v>196</v>
      </c>
      <c r="B23" s="46" t="s">
        <v>197</v>
      </c>
      <c r="C23" s="59">
        <v>29521.65</v>
      </c>
      <c r="D23" s="59"/>
      <c r="E23" s="60">
        <v>3675</v>
      </c>
      <c r="F23" s="60"/>
      <c r="G23" s="60"/>
      <c r="H23" s="60"/>
      <c r="I23" s="60">
        <v>95232.85</v>
      </c>
      <c r="J23" s="60"/>
      <c r="K23" s="60"/>
      <c r="L23" s="60"/>
      <c r="M23" s="60"/>
      <c r="N23" s="60"/>
      <c r="O23" s="60"/>
      <c r="P23" s="60"/>
      <c r="Q23" s="60">
        <v>3981.57</v>
      </c>
      <c r="R23" s="60">
        <v>132.94999999999999</v>
      </c>
      <c r="S23" s="60"/>
      <c r="T23" s="60"/>
      <c r="U23" s="60">
        <v>330</v>
      </c>
      <c r="V23" s="60">
        <v>48044.43</v>
      </c>
      <c r="W23" s="60">
        <v>339.08</v>
      </c>
      <c r="X23" s="60"/>
      <c r="Y23" s="60"/>
      <c r="Z23" s="60"/>
      <c r="AA23" s="60"/>
      <c r="AB23" s="60"/>
      <c r="AC23" s="60"/>
      <c r="AD23" s="60">
        <f>100+477.9+701</f>
        <v>1278.9000000000001</v>
      </c>
      <c r="AE23" s="60"/>
      <c r="AF23" s="60"/>
      <c r="AG23" s="60"/>
      <c r="AH23" s="60">
        <v>4444.37</v>
      </c>
      <c r="AI23" s="49">
        <f t="shared" si="3"/>
        <v>186980.8</v>
      </c>
      <c r="AJ23" s="50">
        <f t="shared" si="4"/>
        <v>21910.669999999984</v>
      </c>
      <c r="AK23" s="51">
        <f>'[2]12-13 for 14-15 Asmt (updated)'!AI23</f>
        <v>165070.13</v>
      </c>
      <c r="AL23" s="48"/>
      <c r="AM23" s="48">
        <v>2471.4899999999998</v>
      </c>
      <c r="AN23" s="60" t="s">
        <v>190</v>
      </c>
      <c r="AO23" s="48"/>
      <c r="AP23" s="48"/>
      <c r="AQ23" s="48">
        <v>7590</v>
      </c>
      <c r="AR23" s="52">
        <f t="shared" si="5"/>
        <v>4.0592403070261761E-2</v>
      </c>
      <c r="AS23" s="51">
        <f>'[1]08-09 for 10-11 Asmt'!AQ23</f>
        <v>22300</v>
      </c>
      <c r="AT23" s="51">
        <f t="shared" si="6"/>
        <v>10061.49</v>
      </c>
      <c r="AU23" s="50">
        <f t="shared" si="0"/>
        <v>-13642.109999999999</v>
      </c>
      <c r="AV23" s="51">
        <f>'[1]08-09 for 10-11 Asmt'!AT23</f>
        <v>23703.599999999999</v>
      </c>
      <c r="AW23" s="48">
        <f t="shared" si="1"/>
        <v>176919.31</v>
      </c>
      <c r="AX23" s="50">
        <f t="shared" si="2"/>
        <v>71258.540000000008</v>
      </c>
      <c r="AY23" s="51">
        <f>'[1]10-11 for 12-13 Asmt'!AW23</f>
        <v>105660.76999999999</v>
      </c>
      <c r="AZ23" s="61"/>
      <c r="BA23" s="61" t="s">
        <v>198</v>
      </c>
      <c r="BB23" s="64"/>
      <c r="BC23" s="63"/>
      <c r="BD23" s="64"/>
      <c r="BE23" s="64">
        <f t="shared" ref="BE23:BE28" si="7">SUM(BC23:BD23)</f>
        <v>0</v>
      </c>
      <c r="BF23" s="64">
        <v>18902.81449959895</v>
      </c>
      <c r="BG23" s="64">
        <v>17767</v>
      </c>
      <c r="BH23" s="64">
        <v>16510.605248453914</v>
      </c>
      <c r="BI23" s="64">
        <v>18187</v>
      </c>
      <c r="BJ23" s="64">
        <v>18116</v>
      </c>
      <c r="BK23" s="64">
        <v>15658.434993602299</v>
      </c>
      <c r="BL23" s="63">
        <v>13936</v>
      </c>
      <c r="BM23" s="63">
        <v>13513</v>
      </c>
      <c r="BN23" s="63">
        <v>11926</v>
      </c>
      <c r="BO23" s="63">
        <v>8329</v>
      </c>
      <c r="BP23" s="63">
        <v>8263</v>
      </c>
      <c r="BQ23" s="63">
        <v>6595</v>
      </c>
      <c r="BR23" s="63">
        <v>6205.3213107096226</v>
      </c>
      <c r="BS23" s="63">
        <v>7262.897377498809</v>
      </c>
      <c r="BT23" s="64"/>
      <c r="BU23" s="65" t="s">
        <v>197</v>
      </c>
    </row>
    <row r="24" spans="1:227" s="58" customFormat="1" ht="33.75" customHeight="1">
      <c r="A24" s="45" t="s">
        <v>199</v>
      </c>
      <c r="B24" s="46" t="s">
        <v>200</v>
      </c>
      <c r="C24" s="47"/>
      <c r="D24" s="47"/>
      <c r="E24" s="48"/>
      <c r="F24" s="48"/>
      <c r="G24" s="48"/>
      <c r="H24" s="48"/>
      <c r="I24" s="48">
        <v>38537.410000000003</v>
      </c>
      <c r="J24" s="48"/>
      <c r="K24" s="48"/>
      <c r="L24" s="48"/>
      <c r="M24" s="48"/>
      <c r="N24" s="48">
        <v>640</v>
      </c>
      <c r="O24" s="48"/>
      <c r="P24" s="48"/>
      <c r="Q24" s="48">
        <v>12.81</v>
      </c>
      <c r="R24" s="48"/>
      <c r="S24" s="48"/>
      <c r="T24" s="48"/>
      <c r="U24" s="48"/>
      <c r="V24" s="48"/>
      <c r="W24" s="48"/>
      <c r="X24" s="48"/>
      <c r="Y24" s="48"/>
      <c r="Z24" s="48"/>
      <c r="AA24" s="48"/>
      <c r="AB24" s="48"/>
      <c r="AC24" s="48"/>
      <c r="AD24" s="48">
        <v>2477.5</v>
      </c>
      <c r="AE24" s="48"/>
      <c r="AF24" s="48"/>
      <c r="AG24" s="48"/>
      <c r="AH24" s="48"/>
      <c r="AI24" s="49">
        <f t="shared" si="3"/>
        <v>41667.72</v>
      </c>
      <c r="AJ24" s="50">
        <f t="shared" si="4"/>
        <v>2504.5099999999948</v>
      </c>
      <c r="AK24" s="51">
        <f>'[2]12-13 for 14-15 Asmt (updated)'!AI24</f>
        <v>39163.210000000006</v>
      </c>
      <c r="AL24" s="48">
        <v>2559.5</v>
      </c>
      <c r="AM24" s="48">
        <f>614.22+325</f>
        <v>939.22</v>
      </c>
      <c r="AN24" s="48" t="s">
        <v>201</v>
      </c>
      <c r="AO24" s="48"/>
      <c r="AP24" s="48"/>
      <c r="AQ24" s="48"/>
      <c r="AR24" s="52">
        <f t="shared" si="5"/>
        <v>0</v>
      </c>
      <c r="AS24" s="51" t="e">
        <f>'[1]08-09 for 10-11 Asmt'!AQ24</f>
        <v>#REF!</v>
      </c>
      <c r="AT24" s="51">
        <f t="shared" si="6"/>
        <v>3498.7200000000003</v>
      </c>
      <c r="AU24" s="50">
        <f t="shared" si="0"/>
        <v>-5030.1400000000003</v>
      </c>
      <c r="AV24" s="51">
        <f>'[1]08-09 for 10-11 Asmt'!AT24</f>
        <v>8528.86</v>
      </c>
      <c r="AW24" s="48">
        <f t="shared" si="1"/>
        <v>38169</v>
      </c>
      <c r="AX24" s="50">
        <f t="shared" si="2"/>
        <v>-1794.6299999999974</v>
      </c>
      <c r="AY24" s="51">
        <f>'[1]10-11 for 12-13 Asmt'!AW24</f>
        <v>39963.629999999997</v>
      </c>
      <c r="AZ24" s="54"/>
      <c r="BA24" s="54"/>
      <c r="BB24" s="57"/>
      <c r="BC24" s="56"/>
      <c r="BD24" s="57"/>
      <c r="BE24" s="57">
        <f t="shared" si="7"/>
        <v>0</v>
      </c>
      <c r="BF24" s="57">
        <v>1996.0610000000001</v>
      </c>
      <c r="BG24" s="57">
        <v>1792</v>
      </c>
      <c r="BH24" s="57">
        <v>1000</v>
      </c>
      <c r="BI24" s="57">
        <v>8160</v>
      </c>
      <c r="BJ24" s="57">
        <v>8397</v>
      </c>
      <c r="BK24" s="57">
        <v>5892.0835284464792</v>
      </c>
      <c r="BL24" s="56">
        <v>6315</v>
      </c>
      <c r="BM24" s="56">
        <v>4400</v>
      </c>
      <c r="BN24" s="56">
        <v>2200</v>
      </c>
      <c r="BO24" s="56">
        <v>1098</v>
      </c>
      <c r="BP24" s="56">
        <v>5901</v>
      </c>
      <c r="BQ24" s="56">
        <v>7600</v>
      </c>
      <c r="BR24" s="56">
        <v>6597.9417670166758</v>
      </c>
      <c r="BS24" s="56">
        <v>6514.0537145599465</v>
      </c>
      <c r="BT24" s="57"/>
      <c r="BU24" s="46" t="s">
        <v>200</v>
      </c>
    </row>
    <row r="25" spans="1:227" s="58" customFormat="1" ht="24" customHeight="1">
      <c r="A25" s="45" t="s">
        <v>199</v>
      </c>
      <c r="B25" s="46" t="s">
        <v>202</v>
      </c>
      <c r="C25" s="47"/>
      <c r="D25" s="47"/>
      <c r="E25" s="48">
        <f>720+200</f>
        <v>920</v>
      </c>
      <c r="F25" s="48"/>
      <c r="G25" s="48"/>
      <c r="H25" s="48"/>
      <c r="I25" s="48">
        <v>165119.94</v>
      </c>
      <c r="J25" s="48"/>
      <c r="K25" s="48"/>
      <c r="L25" s="48"/>
      <c r="M25" s="48"/>
      <c r="N25" s="48"/>
      <c r="O25" s="48"/>
      <c r="P25" s="48"/>
      <c r="Q25" s="48">
        <v>11.66</v>
      </c>
      <c r="R25" s="48"/>
      <c r="S25" s="48"/>
      <c r="T25" s="48"/>
      <c r="U25" s="48"/>
      <c r="V25" s="48">
        <v>530</v>
      </c>
      <c r="W25" s="48">
        <v>5877</v>
      </c>
      <c r="X25" s="48"/>
      <c r="Y25" s="48"/>
      <c r="Z25" s="48"/>
      <c r="AA25" s="48"/>
      <c r="AB25" s="48"/>
      <c r="AC25" s="48"/>
      <c r="AD25" s="48">
        <f>1482.81+364</f>
        <v>1846.81</v>
      </c>
      <c r="AE25" s="48"/>
      <c r="AF25" s="48"/>
      <c r="AG25" s="48"/>
      <c r="AH25" s="48"/>
      <c r="AI25" s="49">
        <f t="shared" si="3"/>
        <v>174305.41</v>
      </c>
      <c r="AJ25" s="50">
        <f t="shared" si="4"/>
        <v>-22010.389999999985</v>
      </c>
      <c r="AK25" s="51">
        <f>'[2]12-13 for 14-15 Asmt (updated)'!AI25</f>
        <v>196315.8</v>
      </c>
      <c r="AL25" s="48">
        <v>7379.78</v>
      </c>
      <c r="AM25" s="48"/>
      <c r="AN25" s="48"/>
      <c r="AO25" s="48"/>
      <c r="AP25" s="48"/>
      <c r="AQ25" s="48"/>
      <c r="AR25" s="52">
        <f t="shared" si="5"/>
        <v>0</v>
      </c>
      <c r="AS25" s="51" t="e">
        <f>'[1]08-09 for 10-11 Asmt'!AQ25</f>
        <v>#REF!</v>
      </c>
      <c r="AT25" s="51">
        <f t="shared" si="6"/>
        <v>7379.78</v>
      </c>
      <c r="AU25" s="50">
        <f t="shared" si="0"/>
        <v>2487.4499999999998</v>
      </c>
      <c r="AV25" s="51">
        <f>'[1]08-09 for 10-11 Asmt'!AT25</f>
        <v>4892.33</v>
      </c>
      <c r="AW25" s="48">
        <f t="shared" si="1"/>
        <v>166925.63</v>
      </c>
      <c r="AX25" s="50">
        <f t="shared" si="2"/>
        <v>-1021.1000000000058</v>
      </c>
      <c r="AY25" s="51">
        <f>'[1]10-11 for 12-13 Asmt'!AW25</f>
        <v>167946.73</v>
      </c>
      <c r="AZ25" s="54" t="s">
        <v>203</v>
      </c>
      <c r="BA25" s="54"/>
      <c r="BB25" s="57"/>
      <c r="BC25" s="56"/>
      <c r="BD25" s="57"/>
      <c r="BE25" s="57">
        <f t="shared" si="7"/>
        <v>0</v>
      </c>
      <c r="BF25" s="57">
        <v>24887.419809599836</v>
      </c>
      <c r="BG25" s="57">
        <v>26995</v>
      </c>
      <c r="BH25" s="57">
        <v>26968.817419172559</v>
      </c>
      <c r="BI25" s="57">
        <v>27001</v>
      </c>
      <c r="BJ25" s="57">
        <v>21680</v>
      </c>
      <c r="BK25" s="57">
        <v>26720.235686694057</v>
      </c>
      <c r="BL25" s="56">
        <v>26428</v>
      </c>
      <c r="BM25" s="56">
        <v>19514</v>
      </c>
      <c r="BN25" s="56">
        <v>22115</v>
      </c>
      <c r="BO25" s="56">
        <v>17820</v>
      </c>
      <c r="BP25" s="56">
        <v>15963</v>
      </c>
      <c r="BQ25" s="56">
        <v>17024</v>
      </c>
      <c r="BR25" s="56">
        <v>15001.828926715798</v>
      </c>
      <c r="BS25" s="56">
        <v>15718.925617474719</v>
      </c>
      <c r="BT25" s="57"/>
      <c r="BU25" s="46" t="s">
        <v>202</v>
      </c>
    </row>
    <row r="26" spans="1:227" s="58" customFormat="1" ht="22.5">
      <c r="A26" s="45" t="s">
        <v>199</v>
      </c>
      <c r="B26" s="46" t="s">
        <v>204</v>
      </c>
      <c r="C26" s="47"/>
      <c r="D26" s="47"/>
      <c r="E26" s="48"/>
      <c r="F26" s="48"/>
      <c r="G26" s="48"/>
      <c r="H26" s="48"/>
      <c r="I26" s="48">
        <v>121862.95</v>
      </c>
      <c r="J26" s="48"/>
      <c r="K26" s="48"/>
      <c r="L26" s="48">
        <v>331</v>
      </c>
      <c r="M26" s="48"/>
      <c r="N26" s="48"/>
      <c r="O26" s="48"/>
      <c r="P26" s="48"/>
      <c r="Q26" s="48">
        <v>2693.19</v>
      </c>
      <c r="R26" s="48"/>
      <c r="S26" s="48"/>
      <c r="T26" s="48">
        <v>600</v>
      </c>
      <c r="U26" s="48"/>
      <c r="V26" s="48">
        <v>25</v>
      </c>
      <c r="W26" s="48"/>
      <c r="X26" s="48">
        <f>3211.81+173501.93+23050</f>
        <v>199763.74</v>
      </c>
      <c r="Y26" s="48"/>
      <c r="Z26" s="48">
        <f>220477.43-3211.81-173501.93-23050</f>
        <v>20713.690000000002</v>
      </c>
      <c r="AA26" s="48"/>
      <c r="AB26" s="48"/>
      <c r="AC26" s="48">
        <v>5521.9</v>
      </c>
      <c r="AD26" s="48"/>
      <c r="AE26" s="48"/>
      <c r="AF26" s="48"/>
      <c r="AG26" s="48"/>
      <c r="AH26" s="48"/>
      <c r="AI26" s="49">
        <f t="shared" si="3"/>
        <v>351511.47000000003</v>
      </c>
      <c r="AJ26" s="50">
        <f t="shared" si="4"/>
        <v>245796.53</v>
      </c>
      <c r="AK26" s="51">
        <f>'[2]12-13 for 14-15 Asmt (updated)'!AI26</f>
        <v>105714.94000000003</v>
      </c>
      <c r="AL26" s="48"/>
      <c r="AM26" s="48">
        <f>331+3211.81+173501.93+23050</f>
        <v>200094.74</v>
      </c>
      <c r="AN26" s="48" t="s">
        <v>205</v>
      </c>
      <c r="AO26" s="48"/>
      <c r="AP26" s="48"/>
      <c r="AQ26" s="48">
        <v>26350</v>
      </c>
      <c r="AR26" s="52">
        <f t="shared" si="5"/>
        <v>7.4961991994173041E-2</v>
      </c>
      <c r="AS26" s="51">
        <f>'[1]08-09 for 10-11 Asmt'!AQ26</f>
        <v>24080.400000000001</v>
      </c>
      <c r="AT26" s="51">
        <f t="shared" si="6"/>
        <v>226444.74</v>
      </c>
      <c r="AU26" s="50">
        <f t="shared" si="0"/>
        <v>201551.28999999998</v>
      </c>
      <c r="AV26" s="51">
        <f>'[1]08-09 for 10-11 Asmt'!AT26</f>
        <v>24893.45</v>
      </c>
      <c r="AW26" s="48">
        <f t="shared" si="1"/>
        <v>125066.73000000004</v>
      </c>
      <c r="AX26" s="50">
        <f t="shared" si="2"/>
        <v>40610.110000000044</v>
      </c>
      <c r="AY26" s="51">
        <f>'[1]10-11 for 12-13 Asmt'!AW26</f>
        <v>84456.62</v>
      </c>
      <c r="AZ26" s="54" t="s">
        <v>206</v>
      </c>
      <c r="BA26" s="48" t="s">
        <v>207</v>
      </c>
      <c r="BB26" s="57"/>
      <c r="BC26" s="56"/>
      <c r="BD26" s="57"/>
      <c r="BE26" s="57">
        <f t="shared" si="7"/>
        <v>0</v>
      </c>
      <c r="BF26" s="57">
        <v>10919.911210982984</v>
      </c>
      <c r="BG26" s="57">
        <v>13738</v>
      </c>
      <c r="BH26" s="57">
        <v>13632.240926975679</v>
      </c>
      <c r="BI26" s="57">
        <v>11134</v>
      </c>
      <c r="BJ26" s="57">
        <v>9507</v>
      </c>
      <c r="BK26" s="57">
        <v>10282.6805616889</v>
      </c>
      <c r="BL26" s="56">
        <v>8737</v>
      </c>
      <c r="BM26" s="56">
        <v>8815</v>
      </c>
      <c r="BN26" s="56">
        <v>7966</v>
      </c>
      <c r="BO26" s="56">
        <v>7914</v>
      </c>
      <c r="BP26" s="56">
        <v>8436</v>
      </c>
      <c r="BQ26" s="56">
        <v>7035</v>
      </c>
      <c r="BR26" s="56">
        <v>5695.9755879956874</v>
      </c>
      <c r="BS26" s="56">
        <v>6025.1330544229404</v>
      </c>
      <c r="BT26" s="57"/>
      <c r="BU26" s="46" t="s">
        <v>204</v>
      </c>
    </row>
    <row r="27" spans="1:227" s="58" customFormat="1" ht="12" customHeight="1">
      <c r="A27" s="45" t="s">
        <v>208</v>
      </c>
      <c r="B27" s="46" t="s">
        <v>209</v>
      </c>
      <c r="C27" s="47"/>
      <c r="D27" s="47"/>
      <c r="E27" s="48">
        <v>11150</v>
      </c>
      <c r="F27" s="48"/>
      <c r="G27" s="48"/>
      <c r="H27" s="48"/>
      <c r="I27" s="48">
        <v>313935.99</v>
      </c>
      <c r="J27" s="48"/>
      <c r="K27" s="48"/>
      <c r="L27" s="48"/>
      <c r="M27" s="48"/>
      <c r="N27" s="48"/>
      <c r="O27" s="48"/>
      <c r="P27" s="48"/>
      <c r="Q27" s="48">
        <v>4793.28</v>
      </c>
      <c r="R27" s="48"/>
      <c r="S27" s="48">
        <v>600</v>
      </c>
      <c r="T27" s="48">
        <v>5331.3</v>
      </c>
      <c r="U27" s="48">
        <v>1690</v>
      </c>
      <c r="V27" s="48"/>
      <c r="W27" s="48">
        <v>2250.69</v>
      </c>
      <c r="X27" s="48">
        <v>27835.06</v>
      </c>
      <c r="Y27" s="48"/>
      <c r="Z27" s="48">
        <f>27835.06-27835.06</f>
        <v>0</v>
      </c>
      <c r="AA27" s="48"/>
      <c r="AB27" s="48"/>
      <c r="AC27" s="48">
        <f>1918.84</f>
        <v>1918.84</v>
      </c>
      <c r="AD27" s="48">
        <v>15011.25</v>
      </c>
      <c r="AE27" s="48"/>
      <c r="AF27" s="48">
        <v>10000</v>
      </c>
      <c r="AG27" s="48"/>
      <c r="AH27" s="48">
        <v>7701</v>
      </c>
      <c r="AI27" s="49">
        <f t="shared" si="3"/>
        <v>402217.41000000003</v>
      </c>
      <c r="AJ27" s="50">
        <f t="shared" si="4"/>
        <v>-18831.920000000042</v>
      </c>
      <c r="AK27" s="51">
        <f>'[2]12-13 for 14-15 Asmt (updated)'!AI27</f>
        <v>421049.33000000007</v>
      </c>
      <c r="AL27" s="48">
        <v>15258</v>
      </c>
      <c r="AM27" s="48">
        <f>5111+1690+5331</f>
        <v>12132</v>
      </c>
      <c r="AN27" s="48" t="s">
        <v>210</v>
      </c>
      <c r="AO27" s="48">
        <v>27835</v>
      </c>
      <c r="AP27" s="48"/>
      <c r="AQ27" s="48">
        <v>82133</v>
      </c>
      <c r="AR27" s="52">
        <f t="shared" si="5"/>
        <v>0.2042005093712875</v>
      </c>
      <c r="AS27" s="51">
        <f>'[1]08-09 for 10-11 Asmt'!AQ27</f>
        <v>79027.25</v>
      </c>
      <c r="AT27" s="51">
        <f t="shared" si="6"/>
        <v>137358</v>
      </c>
      <c r="AU27" s="50">
        <f t="shared" si="0"/>
        <v>-67560.59</v>
      </c>
      <c r="AV27" s="51">
        <f>'[1]08-09 for 10-11 Asmt'!AT27</f>
        <v>204918.59</v>
      </c>
      <c r="AW27" s="48">
        <f t="shared" si="1"/>
        <v>264859.41000000003</v>
      </c>
      <c r="AX27" s="50">
        <f t="shared" si="2"/>
        <v>20255.670000000071</v>
      </c>
      <c r="AY27" s="51">
        <f>'[1]10-11 for 12-13 Asmt'!AW27</f>
        <v>244603.73999999996</v>
      </c>
      <c r="AZ27" s="54"/>
      <c r="BA27" s="54" t="s">
        <v>211</v>
      </c>
      <c r="BB27" s="57"/>
      <c r="BC27" s="56"/>
      <c r="BD27" s="57"/>
      <c r="BE27" s="57">
        <f t="shared" si="7"/>
        <v>0</v>
      </c>
      <c r="BF27" s="57">
        <v>26585.386340171706</v>
      </c>
      <c r="BG27" s="57">
        <v>18565</v>
      </c>
      <c r="BH27" s="57">
        <v>23146.417390152255</v>
      </c>
      <c r="BI27" s="57">
        <v>22430</v>
      </c>
      <c r="BJ27" s="57">
        <v>17981</v>
      </c>
      <c r="BK27" s="57">
        <v>22325.222604460356</v>
      </c>
      <c r="BL27" s="56">
        <v>20632</v>
      </c>
      <c r="BM27" s="56">
        <v>20551</v>
      </c>
      <c r="BN27" s="56">
        <v>19955</v>
      </c>
      <c r="BO27" s="56">
        <v>21143</v>
      </c>
      <c r="BP27" s="56">
        <v>17530</v>
      </c>
      <c r="BQ27" s="56">
        <v>19532</v>
      </c>
      <c r="BR27" s="56">
        <v>16345.928589999787</v>
      </c>
      <c r="BS27" s="56">
        <v>14275.500267356036</v>
      </c>
      <c r="BT27" s="57"/>
      <c r="BU27" s="46" t="s">
        <v>212</v>
      </c>
    </row>
    <row r="28" spans="1:227" ht="12" customHeight="1">
      <c r="A28" s="45" t="s">
        <v>213</v>
      </c>
      <c r="B28" s="46" t="s">
        <v>214</v>
      </c>
      <c r="C28" s="59"/>
      <c r="D28" s="59"/>
      <c r="E28" s="60"/>
      <c r="F28" s="60"/>
      <c r="G28" s="60"/>
      <c r="H28" s="60"/>
      <c r="I28" s="60">
        <v>158157.45000000001</v>
      </c>
      <c r="J28" s="60"/>
      <c r="K28" s="60"/>
      <c r="L28" s="60">
        <v>1210</v>
      </c>
      <c r="M28" s="60"/>
      <c r="N28" s="60"/>
      <c r="O28" s="60"/>
      <c r="P28" s="60"/>
      <c r="Q28" s="60">
        <v>4174.0200000000004</v>
      </c>
      <c r="R28" s="60"/>
      <c r="S28" s="60">
        <v>1265</v>
      </c>
      <c r="T28" s="60"/>
      <c r="U28" s="60"/>
      <c r="V28" s="60">
        <v>325</v>
      </c>
      <c r="W28" s="60"/>
      <c r="X28" s="60">
        <v>247044.1</v>
      </c>
      <c r="Y28" s="60">
        <v>1400.18</v>
      </c>
      <c r="Z28" s="60"/>
      <c r="AA28" s="60"/>
      <c r="AB28" s="60"/>
      <c r="AC28" s="60"/>
      <c r="AD28" s="60">
        <v>4814.45</v>
      </c>
      <c r="AE28" s="60"/>
      <c r="AF28" s="60">
        <v>23164.93</v>
      </c>
      <c r="AG28" s="60"/>
      <c r="AH28" s="60">
        <v>28111.96</v>
      </c>
      <c r="AI28" s="49">
        <f t="shared" si="3"/>
        <v>469667.09</v>
      </c>
      <c r="AJ28" s="50">
        <f t="shared" si="4"/>
        <v>190413.96000000002</v>
      </c>
      <c r="AK28" s="51">
        <f>'[2]12-13 for 14-15 Asmt (updated)'!AI28</f>
        <v>279253.13</v>
      </c>
      <c r="AL28" s="48">
        <f>16353.19+152.16</f>
        <v>16505.350000000002</v>
      </c>
      <c r="AM28" s="48">
        <f>16834.38+25460.48+1235.07+1210</f>
        <v>44739.93</v>
      </c>
      <c r="AN28" s="60" t="s">
        <v>215</v>
      </c>
      <c r="AO28" s="48">
        <v>247044.1</v>
      </c>
      <c r="AP28" s="48"/>
      <c r="AQ28" s="48">
        <v>25726.720000000001</v>
      </c>
      <c r="AR28" s="52">
        <f t="shared" si="5"/>
        <v>5.4776501372493437E-2</v>
      </c>
      <c r="AS28" s="51">
        <f>'[1]08-09 for 10-11 Asmt'!AQ28</f>
        <v>56578.67</v>
      </c>
      <c r="AT28" s="51">
        <f t="shared" si="6"/>
        <v>334016.09999999998</v>
      </c>
      <c r="AU28" s="50">
        <f t="shared" si="0"/>
        <v>249856.99999999997</v>
      </c>
      <c r="AV28" s="51">
        <f>'[1]08-09 for 10-11 Asmt'!AT28</f>
        <v>84159.1</v>
      </c>
      <c r="AW28" s="48">
        <f t="shared" si="1"/>
        <v>135650.99000000005</v>
      </c>
      <c r="AX28" s="50">
        <f t="shared" si="2"/>
        <v>8608.7000000000407</v>
      </c>
      <c r="AY28" s="51">
        <f>'[1]10-11 for 12-13 Asmt'!AW28</f>
        <v>127042.29000000001</v>
      </c>
      <c r="AZ28" s="60"/>
      <c r="BA28" s="60"/>
      <c r="BB28" s="64"/>
      <c r="BC28" s="63"/>
      <c r="BD28" s="64"/>
      <c r="BE28" s="64">
        <f t="shared" si="7"/>
        <v>0</v>
      </c>
      <c r="BF28" s="64">
        <v>14028.478926717184</v>
      </c>
      <c r="BG28" s="64">
        <v>12035</v>
      </c>
      <c r="BH28" s="64">
        <v>13676.768624293551</v>
      </c>
      <c r="BI28" s="64">
        <v>10557</v>
      </c>
      <c r="BJ28" s="64">
        <v>8878</v>
      </c>
      <c r="BK28" s="64">
        <v>9694.2137658619176</v>
      </c>
      <c r="BL28" s="63">
        <v>10209</v>
      </c>
      <c r="BM28" s="63">
        <v>9487</v>
      </c>
      <c r="BN28" s="63">
        <v>7354</v>
      </c>
      <c r="BO28" s="63">
        <v>6748</v>
      </c>
      <c r="BP28" s="63">
        <v>4579</v>
      </c>
      <c r="BQ28" s="63">
        <v>5492</v>
      </c>
      <c r="BR28" s="63">
        <v>4817.8596269660957</v>
      </c>
      <c r="BS28" s="63">
        <v>4144.7467969465642</v>
      </c>
      <c r="BT28" s="64"/>
      <c r="BU28" s="65" t="s">
        <v>216</v>
      </c>
    </row>
    <row r="29" spans="1:227" ht="12" customHeight="1">
      <c r="A29" s="45" t="s">
        <v>217</v>
      </c>
      <c r="B29" s="46" t="s">
        <v>218</v>
      </c>
      <c r="C29" s="59"/>
      <c r="D29" s="59"/>
      <c r="E29" s="60"/>
      <c r="F29" s="60"/>
      <c r="G29" s="60"/>
      <c r="H29" s="60"/>
      <c r="I29" s="60">
        <v>54682.18</v>
      </c>
      <c r="J29" s="60"/>
      <c r="K29" s="60">
        <v>426</v>
      </c>
      <c r="L29" s="60"/>
      <c r="M29" s="60"/>
      <c r="N29" s="60"/>
      <c r="O29" s="60"/>
      <c r="P29" s="60"/>
      <c r="Q29" s="60"/>
      <c r="R29" s="60"/>
      <c r="S29" s="60"/>
      <c r="T29" s="60"/>
      <c r="U29" s="60"/>
      <c r="V29" s="60"/>
      <c r="W29" s="60"/>
      <c r="X29" s="60"/>
      <c r="Y29" s="60"/>
      <c r="Z29" s="60"/>
      <c r="AA29" s="60"/>
      <c r="AB29" s="60"/>
      <c r="AC29" s="60">
        <v>10500</v>
      </c>
      <c r="AD29" s="60"/>
      <c r="AE29" s="60"/>
      <c r="AF29" s="60"/>
      <c r="AG29" s="60">
        <v>3012.6</v>
      </c>
      <c r="AH29" s="60">
        <v>8481</v>
      </c>
      <c r="AI29" s="49">
        <f t="shared" si="3"/>
        <v>77101.78</v>
      </c>
      <c r="AJ29" s="50">
        <f t="shared" si="4"/>
        <v>11804.890000000007</v>
      </c>
      <c r="AK29" s="51">
        <f>'[2]12-13 for 14-15 Asmt (updated)'!AI29</f>
        <v>65296.889999999992</v>
      </c>
      <c r="AL29" s="48">
        <v>9401.9599999999991</v>
      </c>
      <c r="AM29" s="48">
        <f>2986.4+426</f>
        <v>3412.4</v>
      </c>
      <c r="AN29" s="60" t="s">
        <v>219</v>
      </c>
      <c r="AO29" s="48"/>
      <c r="AP29" s="48"/>
      <c r="AQ29" s="48">
        <v>7600</v>
      </c>
      <c r="AR29" s="52">
        <f t="shared" si="5"/>
        <v>9.8571005753693361E-2</v>
      </c>
      <c r="AS29" s="51" t="e">
        <f>'[1]08-09 for 10-11 Asmt'!AQ29</f>
        <v>#REF!</v>
      </c>
      <c r="AT29" s="51">
        <f t="shared" si="6"/>
        <v>20414.36</v>
      </c>
      <c r="AU29" s="50">
        <f t="shared" si="0"/>
        <v>-30726.679999999993</v>
      </c>
      <c r="AV29" s="51">
        <f>'[1]08-09 for 10-11 Asmt'!AT29</f>
        <v>51141.039999999994</v>
      </c>
      <c r="AW29" s="48">
        <f t="shared" si="1"/>
        <v>56687.42</v>
      </c>
      <c r="AX29" s="50">
        <f t="shared" si="2"/>
        <v>-15140.669999999998</v>
      </c>
      <c r="AY29" s="51">
        <f>'[1]10-11 for 12-13 Asmt'!AW29</f>
        <v>71828.09</v>
      </c>
      <c r="AZ29" s="61"/>
      <c r="BA29" s="61"/>
      <c r="BB29" s="62"/>
      <c r="BC29" s="63"/>
      <c r="BD29" s="62"/>
      <c r="BE29" s="62">
        <v>1992</v>
      </c>
      <c r="BF29" s="62">
        <v>2093.3869999999997</v>
      </c>
      <c r="BG29" s="62">
        <v>1803</v>
      </c>
      <c r="BH29" s="64">
        <v>1000</v>
      </c>
      <c r="BI29" s="64">
        <v>750</v>
      </c>
      <c r="BJ29" s="64">
        <v>750</v>
      </c>
      <c r="BK29" s="64">
        <v>1500</v>
      </c>
      <c r="BL29" s="63">
        <v>1500</v>
      </c>
      <c r="BM29" s="63">
        <v>2000</v>
      </c>
      <c r="BN29" s="63">
        <v>1000</v>
      </c>
      <c r="BO29" s="63">
        <v>1100</v>
      </c>
      <c r="BP29" s="63">
        <v>5205</v>
      </c>
      <c r="BQ29" s="63">
        <v>4335</v>
      </c>
      <c r="BR29" s="63">
        <v>3207.3323081111776</v>
      </c>
      <c r="BS29" s="63">
        <v>3427.485170830962</v>
      </c>
      <c r="BT29" s="64"/>
      <c r="BU29" s="65" t="s">
        <v>218</v>
      </c>
    </row>
    <row r="30" spans="1:227" s="58" customFormat="1" ht="33.75">
      <c r="A30" s="45" t="s">
        <v>220</v>
      </c>
      <c r="B30" s="46" t="s">
        <v>221</v>
      </c>
      <c r="C30" s="47"/>
      <c r="D30" s="47"/>
      <c r="E30" s="48"/>
      <c r="F30" s="48"/>
      <c r="G30" s="48"/>
      <c r="H30" s="48"/>
      <c r="I30" s="48">
        <v>432628.19</v>
      </c>
      <c r="J30" s="48"/>
      <c r="K30" s="48"/>
      <c r="L30" s="48"/>
      <c r="M30" s="48"/>
      <c r="N30" s="48"/>
      <c r="O30" s="48"/>
      <c r="P30" s="48"/>
      <c r="Q30" s="48">
        <v>4.2300000000000004</v>
      </c>
      <c r="R30" s="48"/>
      <c r="S30" s="48">
        <v>550</v>
      </c>
      <c r="T30" s="48"/>
      <c r="U30" s="48">
        <v>1765</v>
      </c>
      <c r="V30" s="48"/>
      <c r="W30" s="48"/>
      <c r="X30" s="48"/>
      <c r="Y30" s="48"/>
      <c r="Z30" s="48"/>
      <c r="AA30" s="48"/>
      <c r="AB30" s="48"/>
      <c r="AC30" s="48"/>
      <c r="AD30" s="48">
        <v>672.53</v>
      </c>
      <c r="AE30" s="48"/>
      <c r="AF30" s="48">
        <v>17521.75</v>
      </c>
      <c r="AG30" s="48"/>
      <c r="AH30" s="48"/>
      <c r="AI30" s="49">
        <f t="shared" si="3"/>
        <v>453141.7</v>
      </c>
      <c r="AJ30" s="50">
        <f t="shared" si="4"/>
        <v>-261272.05000000022</v>
      </c>
      <c r="AK30" s="51">
        <f>'[2]12-13 for 14-15 Asmt (updated)'!AI30</f>
        <v>714413.75000000023</v>
      </c>
      <c r="AL30" s="48">
        <f>28686.96+3838.89</f>
        <v>32525.85</v>
      </c>
      <c r="AM30" s="48">
        <f>11565.47+1765</f>
        <v>13330.47</v>
      </c>
      <c r="AN30" s="54" t="s">
        <v>201</v>
      </c>
      <c r="AO30" s="48"/>
      <c r="AP30" s="48"/>
      <c r="AQ30" s="48">
        <v>113371.91</v>
      </c>
      <c r="AR30" s="52">
        <f t="shared" si="5"/>
        <v>0.25019085641422983</v>
      </c>
      <c r="AS30" s="51">
        <f>'[1]08-09 for 10-11 Asmt'!AQ30</f>
        <v>193402.32</v>
      </c>
      <c r="AT30" s="51">
        <f t="shared" si="6"/>
        <v>159228.23000000001</v>
      </c>
      <c r="AU30" s="50">
        <f t="shared" si="0"/>
        <v>-58833.369999999995</v>
      </c>
      <c r="AV30" s="51">
        <f>'[1]08-09 for 10-11 Asmt'!AT30</f>
        <v>218061.6</v>
      </c>
      <c r="AW30" s="48">
        <f t="shared" si="1"/>
        <v>293913.46999999997</v>
      </c>
      <c r="AX30" s="50">
        <f t="shared" si="2"/>
        <v>10474.929999999993</v>
      </c>
      <c r="AY30" s="51">
        <f>'[1]10-11 for 12-13 Asmt'!AW30</f>
        <v>283438.53999999998</v>
      </c>
      <c r="AZ30" s="54" t="s">
        <v>222</v>
      </c>
      <c r="BA30" s="54" t="s">
        <v>223</v>
      </c>
      <c r="BB30" s="57"/>
      <c r="BC30" s="56"/>
      <c r="BD30" s="57"/>
      <c r="BE30" s="57">
        <f t="shared" ref="BE30:BE51" si="8">SUM(BC30:BD30)</f>
        <v>0</v>
      </c>
      <c r="BF30" s="57">
        <v>45882.300146282432</v>
      </c>
      <c r="BG30" s="57">
        <v>46601</v>
      </c>
      <c r="BH30" s="57">
        <v>44902.853249701337</v>
      </c>
      <c r="BI30" s="57">
        <v>45327</v>
      </c>
      <c r="BJ30" s="57">
        <v>35395</v>
      </c>
      <c r="BK30" s="57">
        <v>39066.582112648328</v>
      </c>
      <c r="BL30" s="56">
        <v>35060</v>
      </c>
      <c r="BM30" s="56">
        <v>28721</v>
      </c>
      <c r="BN30" s="56">
        <v>25949</v>
      </c>
      <c r="BO30" s="56">
        <v>33597</v>
      </c>
      <c r="BP30" s="56">
        <v>29103</v>
      </c>
      <c r="BQ30" s="56">
        <v>24629</v>
      </c>
      <c r="BR30" s="56">
        <v>27826.9992812411</v>
      </c>
      <c r="BS30" s="56">
        <v>30104.460987115275</v>
      </c>
      <c r="BT30" s="57"/>
      <c r="BU30" s="46" t="s">
        <v>224</v>
      </c>
    </row>
    <row r="31" spans="1:227" ht="22.5">
      <c r="A31" s="45" t="s">
        <v>225</v>
      </c>
      <c r="B31" s="68" t="s">
        <v>226</v>
      </c>
      <c r="C31" s="59"/>
      <c r="D31" s="59"/>
      <c r="E31" s="60">
        <v>117</v>
      </c>
      <c r="F31" s="60"/>
      <c r="G31" s="60"/>
      <c r="H31" s="60"/>
      <c r="I31" s="60">
        <v>207397.74</v>
      </c>
      <c r="J31" s="60"/>
      <c r="K31" s="60"/>
      <c r="L31" s="60"/>
      <c r="M31" s="60"/>
      <c r="N31" s="60"/>
      <c r="O31" s="60"/>
      <c r="P31" s="60"/>
      <c r="Q31" s="60">
        <v>639.92999999999995</v>
      </c>
      <c r="R31" s="60"/>
      <c r="S31" s="60">
        <v>180</v>
      </c>
      <c r="T31" s="60">
        <v>26650</v>
      </c>
      <c r="U31" s="60">
        <v>342</v>
      </c>
      <c r="V31" s="60">
        <v>325</v>
      </c>
      <c r="W31" s="60"/>
      <c r="X31" s="60">
        <v>980</v>
      </c>
      <c r="Y31" s="60"/>
      <c r="Z31" s="60"/>
      <c r="AA31" s="60"/>
      <c r="AB31" s="60"/>
      <c r="AC31" s="60"/>
      <c r="AD31" s="60">
        <f>306.69+375</f>
        <v>681.69</v>
      </c>
      <c r="AE31" s="60"/>
      <c r="AF31" s="60"/>
      <c r="AG31" s="60"/>
      <c r="AH31" s="60">
        <v>46517.64</v>
      </c>
      <c r="AI31" s="49">
        <f t="shared" si="3"/>
        <v>283831</v>
      </c>
      <c r="AJ31" s="50">
        <f t="shared" si="4"/>
        <v>10635.890000000014</v>
      </c>
      <c r="AK31" s="51">
        <f>'[2]12-13 for 14-15 Asmt (updated)'!AI31</f>
        <v>273195.11</v>
      </c>
      <c r="AL31" s="48">
        <v>26829.58</v>
      </c>
      <c r="AM31" s="48">
        <f>22137.54+342+26650+6834</f>
        <v>55963.54</v>
      </c>
      <c r="AN31" s="60" t="s">
        <v>227</v>
      </c>
      <c r="AO31" s="48">
        <v>980</v>
      </c>
      <c r="AP31" s="48"/>
      <c r="AQ31" s="48">
        <v>34203</v>
      </c>
      <c r="AR31" s="52">
        <f t="shared" si="5"/>
        <v>0.12050480743822908</v>
      </c>
      <c r="AS31" s="51">
        <f>'[1]08-09 for 10-11 Asmt'!AQ31</f>
        <v>31500</v>
      </c>
      <c r="AT31" s="51">
        <f t="shared" si="6"/>
        <v>117976.12</v>
      </c>
      <c r="AU31" s="50">
        <f t="shared" si="0"/>
        <v>5075.1499999999942</v>
      </c>
      <c r="AV31" s="51">
        <f>'[1]08-09 for 10-11 Asmt'!AT31</f>
        <v>112900.97</v>
      </c>
      <c r="AW31" s="48">
        <f t="shared" si="1"/>
        <v>165854.88</v>
      </c>
      <c r="AX31" s="50">
        <f t="shared" si="2"/>
        <v>3802.2900000000373</v>
      </c>
      <c r="AY31" s="51">
        <f>'[1]10-11 for 12-13 Asmt'!AW31</f>
        <v>162052.58999999997</v>
      </c>
      <c r="AZ31" s="69" t="s">
        <v>228</v>
      </c>
      <c r="BA31" s="61" t="s">
        <v>229</v>
      </c>
      <c r="BB31" s="64"/>
      <c r="BC31" s="63"/>
      <c r="BD31" s="64"/>
      <c r="BE31" s="64">
        <f t="shared" si="8"/>
        <v>0</v>
      </c>
      <c r="BF31" s="64">
        <v>21666.950415323827</v>
      </c>
      <c r="BG31" s="64">
        <v>19253</v>
      </c>
      <c r="BH31" s="64">
        <v>14756.369383367219</v>
      </c>
      <c r="BI31" s="64">
        <v>14430</v>
      </c>
      <c r="BJ31" s="64">
        <v>15320</v>
      </c>
      <c r="BK31" s="64">
        <v>17923.830435810378</v>
      </c>
      <c r="BL31" s="63">
        <v>12553</v>
      </c>
      <c r="BM31" s="63">
        <v>14904</v>
      </c>
      <c r="BN31" s="63">
        <v>11993</v>
      </c>
      <c r="BO31" s="63">
        <v>14657</v>
      </c>
      <c r="BP31" s="63">
        <v>8654</v>
      </c>
      <c r="BQ31" s="63">
        <v>13909</v>
      </c>
      <c r="BR31" s="63">
        <v>12488.893963087949</v>
      </c>
      <c r="BS31" s="63">
        <v>10063.400770813038</v>
      </c>
      <c r="BT31" s="64"/>
      <c r="BU31" s="65" t="s">
        <v>230</v>
      </c>
    </row>
    <row r="32" spans="1:227">
      <c r="A32" s="45" t="s">
        <v>225</v>
      </c>
      <c r="B32" s="46" t="s">
        <v>231</v>
      </c>
      <c r="C32" s="59" t="s">
        <v>232</v>
      </c>
      <c r="D32" s="59"/>
      <c r="E32" s="60"/>
      <c r="F32" s="60"/>
      <c r="G32" s="60"/>
      <c r="H32" s="60"/>
      <c r="I32" s="60">
        <v>187762.58</v>
      </c>
      <c r="J32" s="60"/>
      <c r="K32" s="60"/>
      <c r="L32" s="60"/>
      <c r="M32" s="60"/>
      <c r="N32" s="60"/>
      <c r="O32" s="60"/>
      <c r="P32" s="60"/>
      <c r="Q32" s="60">
        <v>1116.77</v>
      </c>
      <c r="R32" s="60"/>
      <c r="S32" s="60"/>
      <c r="T32" s="60"/>
      <c r="U32" s="60">
        <v>998</v>
      </c>
      <c r="V32" s="60">
        <v>400</v>
      </c>
      <c r="W32" s="60"/>
      <c r="X32" s="60"/>
      <c r="Y32" s="60"/>
      <c r="Z32" s="60">
        <f>1797.1+3020</f>
        <v>4817.1000000000004</v>
      </c>
      <c r="AA32" s="60"/>
      <c r="AB32" s="60"/>
      <c r="AC32" s="60">
        <v>3018.17</v>
      </c>
      <c r="AD32" s="60">
        <f>1215.56+325</f>
        <v>1540.56</v>
      </c>
      <c r="AE32" s="60"/>
      <c r="AF32" s="60"/>
      <c r="AG32" s="60"/>
      <c r="AH32" s="60"/>
      <c r="AI32" s="49">
        <f t="shared" si="3"/>
        <v>199653.18</v>
      </c>
      <c r="AJ32" s="50">
        <f t="shared" si="4"/>
        <v>18197.759999999951</v>
      </c>
      <c r="AK32" s="51">
        <f>'[2]12-13 for 14-15 Asmt (updated)'!AI32</f>
        <v>181455.42000000004</v>
      </c>
      <c r="AL32" s="48">
        <v>6130.33</v>
      </c>
      <c r="AM32" s="48">
        <v>998</v>
      </c>
      <c r="AN32" s="61" t="s">
        <v>233</v>
      </c>
      <c r="AO32" s="48"/>
      <c r="AP32" s="48"/>
      <c r="AQ32" s="48">
        <v>74388</v>
      </c>
      <c r="AR32" s="52">
        <f t="shared" si="5"/>
        <v>0.37258610155871297</v>
      </c>
      <c r="AS32" s="51">
        <f>'[1]08-09 for 10-11 Asmt'!AQ32</f>
        <v>64586.04</v>
      </c>
      <c r="AT32" s="51">
        <f t="shared" si="6"/>
        <v>81516.33</v>
      </c>
      <c r="AU32" s="50">
        <f t="shared" si="0"/>
        <v>6355.2899999999936</v>
      </c>
      <c r="AV32" s="51">
        <f>'[1]08-09 for 10-11 Asmt'!AT32</f>
        <v>75161.040000000008</v>
      </c>
      <c r="AW32" s="48">
        <f t="shared" si="1"/>
        <v>118136.84999999999</v>
      </c>
      <c r="AX32" s="50">
        <f t="shared" si="2"/>
        <v>20357.939999999988</v>
      </c>
      <c r="AY32" s="51">
        <f>'[1]10-11 for 12-13 Asmt'!AW32</f>
        <v>97778.91</v>
      </c>
      <c r="AZ32" s="54"/>
      <c r="BA32" s="61"/>
      <c r="BB32" s="64"/>
      <c r="BC32" s="63"/>
      <c r="BD32" s="64"/>
      <c r="BE32" s="64">
        <f t="shared" si="8"/>
        <v>0</v>
      </c>
      <c r="BF32" s="64">
        <v>14011.104973308515</v>
      </c>
      <c r="BG32" s="64">
        <v>15542</v>
      </c>
      <c r="BH32" s="64">
        <v>16210.121160110779</v>
      </c>
      <c r="BI32" s="64">
        <v>11830</v>
      </c>
      <c r="BJ32" s="64">
        <v>10952</v>
      </c>
      <c r="BK32" s="64">
        <v>13478.499207869141</v>
      </c>
      <c r="BL32" s="63">
        <v>12813</v>
      </c>
      <c r="BM32" s="63">
        <v>10627</v>
      </c>
      <c r="BN32" s="63">
        <v>10420</v>
      </c>
      <c r="BO32" s="63">
        <v>9799</v>
      </c>
      <c r="BP32" s="63">
        <v>8526</v>
      </c>
      <c r="BQ32" s="63">
        <v>8184</v>
      </c>
      <c r="BR32" s="63">
        <v>3485.7311867883827</v>
      </c>
      <c r="BS32" s="63">
        <v>4820.7370193699153</v>
      </c>
      <c r="BT32" s="64"/>
      <c r="BU32" s="70" t="s">
        <v>234</v>
      </c>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1"/>
      <c r="ET32" s="71"/>
      <c r="EU32" s="71"/>
      <c r="EV32" s="71"/>
      <c r="EW32" s="71"/>
      <c r="EX32" s="71"/>
      <c r="EY32" s="71"/>
      <c r="EZ32" s="71"/>
      <c r="FA32" s="71"/>
      <c r="FB32" s="71"/>
      <c r="FC32" s="71"/>
      <c r="FD32" s="71"/>
      <c r="FE32" s="71"/>
      <c r="FF32" s="71"/>
      <c r="FG32" s="71"/>
      <c r="FH32" s="71"/>
      <c r="FI32" s="71"/>
      <c r="FJ32" s="71"/>
      <c r="FK32" s="71"/>
      <c r="FL32" s="71"/>
      <c r="FM32" s="71"/>
      <c r="FN32" s="71"/>
      <c r="FO32" s="71"/>
      <c r="FP32" s="71"/>
      <c r="FQ32" s="71"/>
      <c r="FR32" s="71"/>
      <c r="FS32" s="71"/>
      <c r="FT32" s="71"/>
      <c r="FU32" s="71"/>
      <c r="FV32" s="71"/>
      <c r="FW32" s="71"/>
      <c r="FX32" s="71"/>
      <c r="FY32" s="71"/>
      <c r="FZ32" s="71"/>
      <c r="GA32" s="71"/>
      <c r="GB32" s="71"/>
      <c r="GC32" s="71"/>
      <c r="GD32" s="71"/>
      <c r="GE32" s="71"/>
      <c r="GF32" s="71"/>
      <c r="GG32" s="71"/>
      <c r="GH32" s="71"/>
      <c r="GI32" s="71"/>
      <c r="GJ32" s="71"/>
      <c r="GK32" s="71"/>
      <c r="GL32" s="71"/>
      <c r="GM32" s="71"/>
      <c r="GN32" s="71"/>
      <c r="GO32" s="71"/>
      <c r="GP32" s="71"/>
      <c r="GQ32" s="71"/>
      <c r="GR32" s="71"/>
      <c r="GS32" s="71"/>
      <c r="GT32" s="71"/>
      <c r="GU32" s="71"/>
      <c r="GV32" s="71"/>
      <c r="GW32" s="71"/>
      <c r="GX32" s="71"/>
      <c r="GY32" s="71"/>
      <c r="GZ32" s="71"/>
      <c r="HA32" s="71"/>
      <c r="HB32" s="71"/>
      <c r="HC32" s="71"/>
      <c r="HD32" s="71"/>
      <c r="HE32" s="71"/>
      <c r="HF32" s="71"/>
      <c r="HG32" s="71"/>
      <c r="HH32" s="71"/>
      <c r="HI32" s="71"/>
      <c r="HJ32" s="71"/>
      <c r="HK32" s="71"/>
      <c r="HL32" s="71"/>
      <c r="HM32" s="71"/>
      <c r="HN32" s="71"/>
      <c r="HO32" s="71"/>
      <c r="HP32" s="71"/>
      <c r="HQ32" s="71"/>
      <c r="HR32" s="71"/>
      <c r="HS32" s="71"/>
    </row>
    <row r="33" spans="1:73">
      <c r="A33" s="45" t="s">
        <v>225</v>
      </c>
      <c r="B33" s="46" t="s">
        <v>235</v>
      </c>
      <c r="C33" s="59"/>
      <c r="D33" s="59"/>
      <c r="E33" s="60"/>
      <c r="F33" s="60"/>
      <c r="G33" s="60"/>
      <c r="H33" s="60"/>
      <c r="I33" s="60">
        <v>62388.19</v>
      </c>
      <c r="J33" s="60"/>
      <c r="K33" s="60"/>
      <c r="L33" s="60"/>
      <c r="M33" s="60"/>
      <c r="N33" s="60"/>
      <c r="O33" s="60"/>
      <c r="P33" s="60"/>
      <c r="Q33" s="60">
        <v>168.08</v>
      </c>
      <c r="R33" s="60"/>
      <c r="S33" s="60"/>
      <c r="T33" s="60"/>
      <c r="U33" s="60">
        <v>1197</v>
      </c>
      <c r="V33" s="60"/>
      <c r="W33" s="60"/>
      <c r="X33" s="60"/>
      <c r="Y33" s="60"/>
      <c r="Z33" s="60"/>
      <c r="AA33" s="60"/>
      <c r="AB33" s="60"/>
      <c r="AC33" s="60"/>
      <c r="AD33" s="60">
        <f>585.45+120</f>
        <v>705.45</v>
      </c>
      <c r="AE33" s="60"/>
      <c r="AF33" s="60">
        <v>4292.67</v>
      </c>
      <c r="AG33" s="60"/>
      <c r="AH33" s="60"/>
      <c r="AI33" s="49">
        <f t="shared" si="3"/>
        <v>68751.39</v>
      </c>
      <c r="AJ33" s="50">
        <f t="shared" si="4"/>
        <v>-10415.790000000023</v>
      </c>
      <c r="AK33" s="51">
        <f>'[2]12-13 for 14-15 Asmt (updated)'!AI33</f>
        <v>79167.180000000022</v>
      </c>
      <c r="AL33" s="48"/>
      <c r="AM33" s="48">
        <f>671.74+1197</f>
        <v>1868.74</v>
      </c>
      <c r="AN33" s="54"/>
      <c r="AO33" s="48"/>
      <c r="AP33" s="48"/>
      <c r="AQ33" s="48">
        <v>1343.66</v>
      </c>
      <c r="AR33" s="52">
        <f t="shared" si="5"/>
        <v>1.954375031544817E-2</v>
      </c>
      <c r="AS33" s="51">
        <f>'[1]08-09 for 10-11 Asmt'!AQ33</f>
        <v>1540</v>
      </c>
      <c r="AT33" s="51">
        <f t="shared" si="6"/>
        <v>3212.4</v>
      </c>
      <c r="AU33" s="50">
        <f t="shared" si="0"/>
        <v>1221.04</v>
      </c>
      <c r="AV33" s="51">
        <f>'[1]08-09 for 10-11 Asmt'!AT33</f>
        <v>1991.3600000000001</v>
      </c>
      <c r="AW33" s="48">
        <f t="shared" si="1"/>
        <v>65538.990000000005</v>
      </c>
      <c r="AX33" s="50">
        <f t="shared" si="2"/>
        <v>3491.4800000000032</v>
      </c>
      <c r="AY33" s="51">
        <f>'[1]10-11 for 12-13 Asmt'!AW33</f>
        <v>62047.51</v>
      </c>
      <c r="AZ33" s="61"/>
      <c r="BA33" s="61" t="s">
        <v>236</v>
      </c>
      <c r="BB33" s="72"/>
      <c r="BC33" s="73"/>
      <c r="BD33" s="72"/>
      <c r="BE33" s="72">
        <f t="shared" si="8"/>
        <v>0</v>
      </c>
      <c r="BF33" s="62">
        <v>2892.2785000000003</v>
      </c>
      <c r="BG33" s="64">
        <v>10400</v>
      </c>
      <c r="BH33" s="64">
        <v>9153.0319527786087</v>
      </c>
      <c r="BI33" s="64">
        <v>6538</v>
      </c>
      <c r="BJ33" s="64">
        <v>6444</v>
      </c>
      <c r="BK33" s="64">
        <v>6823.0029882796798</v>
      </c>
      <c r="BL33" s="63">
        <v>6280</v>
      </c>
      <c r="BM33" s="63">
        <v>5324</v>
      </c>
      <c r="BN33" s="63">
        <v>6855</v>
      </c>
      <c r="BO33" s="63">
        <v>8749</v>
      </c>
      <c r="BP33" s="63">
        <v>6762</v>
      </c>
      <c r="BQ33" s="63">
        <v>6489</v>
      </c>
      <c r="BR33" s="63">
        <v>7032.3120944774264</v>
      </c>
      <c r="BS33" s="63">
        <v>5839.0066936216826</v>
      </c>
      <c r="BT33" s="64"/>
      <c r="BU33" s="65" t="s">
        <v>237</v>
      </c>
    </row>
    <row r="34" spans="1:73" s="58" customFormat="1" ht="22.5">
      <c r="A34" s="45" t="s">
        <v>238</v>
      </c>
      <c r="B34" s="46" t="s">
        <v>239</v>
      </c>
      <c r="C34" s="47"/>
      <c r="D34" s="47"/>
      <c r="E34" s="48"/>
      <c r="F34" s="48"/>
      <c r="G34" s="48"/>
      <c r="H34" s="48"/>
      <c r="I34" s="48">
        <v>70926</v>
      </c>
      <c r="J34" s="48"/>
      <c r="K34" s="48">
        <v>2469.84</v>
      </c>
      <c r="L34" s="48"/>
      <c r="M34" s="48"/>
      <c r="N34" s="48"/>
      <c r="O34" s="48"/>
      <c r="P34" s="48"/>
      <c r="Q34" s="48">
        <v>2.4300000000000002</v>
      </c>
      <c r="R34" s="48"/>
      <c r="S34" s="48"/>
      <c r="T34" s="48"/>
      <c r="U34" s="48">
        <v>880</v>
      </c>
      <c r="V34" s="48"/>
      <c r="W34" s="48"/>
      <c r="X34" s="48"/>
      <c r="Y34" s="48"/>
      <c r="Z34" s="48"/>
      <c r="AA34" s="48"/>
      <c r="AB34" s="48"/>
      <c r="AC34" s="48"/>
      <c r="AD34" s="48">
        <f>530+21+748</f>
        <v>1299</v>
      </c>
      <c r="AE34" s="48"/>
      <c r="AF34" s="48"/>
      <c r="AG34" s="48"/>
      <c r="AH34" s="48"/>
      <c r="AI34" s="49">
        <f t="shared" si="3"/>
        <v>75577.26999999999</v>
      </c>
      <c r="AJ34" s="50">
        <f t="shared" si="4"/>
        <v>9532.2699999999895</v>
      </c>
      <c r="AK34" s="51">
        <f>'[2]12-13 for 14-15 Asmt (updated)'!AI34</f>
        <v>66045</v>
      </c>
      <c r="AL34" s="48">
        <v>400</v>
      </c>
      <c r="AM34" s="48">
        <f>2469.84+880</f>
        <v>3349.84</v>
      </c>
      <c r="AN34" s="48" t="s">
        <v>240</v>
      </c>
      <c r="AO34" s="48"/>
      <c r="AP34" s="48"/>
      <c r="AQ34" s="48"/>
      <c r="AR34" s="52">
        <f t="shared" si="5"/>
        <v>0</v>
      </c>
      <c r="AS34" s="51" t="e">
        <f>'[1]08-09 for 10-11 Asmt'!AQ34</f>
        <v>#REF!</v>
      </c>
      <c r="AT34" s="51">
        <f t="shared" si="6"/>
        <v>3749.84</v>
      </c>
      <c r="AU34" s="50">
        <f t="shared" si="0"/>
        <v>-10244.84</v>
      </c>
      <c r="AV34" s="51">
        <f>'[1]08-09 for 10-11 Asmt'!AT34</f>
        <v>13994.68</v>
      </c>
      <c r="AW34" s="48">
        <f t="shared" si="1"/>
        <v>71827.429999999993</v>
      </c>
      <c r="AX34" s="50">
        <f t="shared" si="2"/>
        <v>15009.779999999992</v>
      </c>
      <c r="AY34" s="51">
        <f>'[1]10-11 for 12-13 Asmt'!AW34</f>
        <v>56817.65</v>
      </c>
      <c r="AZ34" s="48"/>
      <c r="BA34" s="54" t="s">
        <v>241</v>
      </c>
      <c r="BB34" s="57"/>
      <c r="BC34" s="56"/>
      <c r="BD34" s="57"/>
      <c r="BE34" s="57">
        <f t="shared" si="8"/>
        <v>0</v>
      </c>
      <c r="BF34" s="57">
        <v>2633.8415000000005</v>
      </c>
      <c r="BG34" s="57">
        <v>10988</v>
      </c>
      <c r="BH34" s="57">
        <v>11106.268690596087</v>
      </c>
      <c r="BI34" s="57">
        <v>8473</v>
      </c>
      <c r="BJ34" s="57">
        <v>8307</v>
      </c>
      <c r="BK34" s="57">
        <v>9187.1706215640588</v>
      </c>
      <c r="BL34" s="56">
        <v>8348</v>
      </c>
      <c r="BM34" s="56">
        <v>6863</v>
      </c>
      <c r="BN34" s="56">
        <v>7315</v>
      </c>
      <c r="BO34" s="56">
        <v>7155</v>
      </c>
      <c r="BP34" s="56">
        <v>6187</v>
      </c>
      <c r="BQ34" s="56">
        <v>5231</v>
      </c>
      <c r="BR34" s="56">
        <v>2934.4277719957445</v>
      </c>
      <c r="BS34" s="56">
        <v>2776.9385691142129</v>
      </c>
      <c r="BT34" s="57"/>
      <c r="BU34" s="46" t="s">
        <v>239</v>
      </c>
    </row>
    <row r="35" spans="1:73" s="58" customFormat="1" ht="22.5">
      <c r="A35" s="45" t="s">
        <v>242</v>
      </c>
      <c r="B35" s="46" t="s">
        <v>243</v>
      </c>
      <c r="C35" s="47"/>
      <c r="D35" s="47"/>
      <c r="E35" s="48"/>
      <c r="F35" s="48"/>
      <c r="G35" s="48"/>
      <c r="H35" s="48"/>
      <c r="I35" s="48">
        <v>51462.45</v>
      </c>
      <c r="J35" s="48"/>
      <c r="K35" s="48"/>
      <c r="L35" s="48"/>
      <c r="M35" s="48"/>
      <c r="N35" s="48"/>
      <c r="O35" s="48"/>
      <c r="P35" s="48"/>
      <c r="Q35" s="48">
        <v>796.2</v>
      </c>
      <c r="R35" s="48"/>
      <c r="S35" s="48"/>
      <c r="T35" s="48">
        <v>200</v>
      </c>
      <c r="U35" s="48"/>
      <c r="V35" s="48"/>
      <c r="W35" s="48"/>
      <c r="X35" s="48"/>
      <c r="Y35" s="48"/>
      <c r="Z35" s="48">
        <v>4312.4399999999996</v>
      </c>
      <c r="AA35" s="48"/>
      <c r="AB35" s="48"/>
      <c r="AC35" s="48"/>
      <c r="AD35" s="48">
        <v>1136.6500000000001</v>
      </c>
      <c r="AE35" s="48"/>
      <c r="AF35" s="48">
        <v>4292.67</v>
      </c>
      <c r="AG35" s="48"/>
      <c r="AH35" s="48"/>
      <c r="AI35" s="49">
        <f t="shared" si="3"/>
        <v>62200.409999999996</v>
      </c>
      <c r="AJ35" s="50">
        <f t="shared" si="4"/>
        <v>-16918.260000000017</v>
      </c>
      <c r="AK35" s="51">
        <f>'[2]12-13 for 14-15 Asmt (updated)'!AI35</f>
        <v>79118.670000000013</v>
      </c>
      <c r="AL35" s="48">
        <v>243.91</v>
      </c>
      <c r="AM35" s="48">
        <v>200</v>
      </c>
      <c r="AN35" s="48" t="s">
        <v>244</v>
      </c>
      <c r="AO35" s="48"/>
      <c r="AP35" s="48"/>
      <c r="AQ35" s="48">
        <v>1344.64</v>
      </c>
      <c r="AR35" s="52">
        <f t="shared" si="5"/>
        <v>2.1617863933694331E-2</v>
      </c>
      <c r="AS35" s="51">
        <f>'[1]08-09 for 10-11 Asmt'!AQ35</f>
        <v>1210</v>
      </c>
      <c r="AT35" s="51">
        <f t="shared" si="6"/>
        <v>1788.5500000000002</v>
      </c>
      <c r="AU35" s="50">
        <f t="shared" si="0"/>
        <v>-15396.560000000001</v>
      </c>
      <c r="AV35" s="51">
        <f>'[1]08-09 for 10-11 Asmt'!AT35</f>
        <v>17185.11</v>
      </c>
      <c r="AW35" s="48">
        <f t="shared" si="1"/>
        <v>60411.859999999993</v>
      </c>
      <c r="AX35" s="50">
        <f t="shared" si="2"/>
        <v>-771.56999999999971</v>
      </c>
      <c r="AY35" s="51">
        <f>'[1]10-11 for 12-13 Asmt'!AW35</f>
        <v>61183.429999999993</v>
      </c>
      <c r="AZ35" s="48"/>
      <c r="BA35" s="54" t="s">
        <v>245</v>
      </c>
      <c r="BB35" s="57"/>
      <c r="BC35" s="56"/>
      <c r="BD35" s="57"/>
      <c r="BE35" s="57">
        <f t="shared" si="8"/>
        <v>0</v>
      </c>
      <c r="BF35" s="57">
        <v>2971.8924999999999</v>
      </c>
      <c r="BG35" s="57">
        <v>10318</v>
      </c>
      <c r="BH35" s="57">
        <v>9657.8857456291316</v>
      </c>
      <c r="BI35" s="57">
        <v>8040</v>
      </c>
      <c r="BJ35" s="57">
        <v>7472</v>
      </c>
      <c r="BK35" s="57">
        <v>7700.7508312043601</v>
      </c>
      <c r="BL35" s="56">
        <v>6472</v>
      </c>
      <c r="BM35" s="56">
        <v>5389</v>
      </c>
      <c r="BN35" s="56">
        <v>5059</v>
      </c>
      <c r="BO35" s="56">
        <v>5317</v>
      </c>
      <c r="BP35" s="56">
        <v>4238</v>
      </c>
      <c r="BQ35" s="56">
        <v>4600</v>
      </c>
      <c r="BR35" s="56">
        <v>6395.2930006503793</v>
      </c>
      <c r="BS35" s="56">
        <v>4506.0639593953601</v>
      </c>
      <c r="BT35" s="57"/>
      <c r="BU35" s="46" t="s">
        <v>246</v>
      </c>
    </row>
    <row r="36" spans="1:73" s="58" customFormat="1" ht="45">
      <c r="A36" s="45" t="s">
        <v>242</v>
      </c>
      <c r="B36" s="46" t="s">
        <v>247</v>
      </c>
      <c r="C36" s="47"/>
      <c r="D36" s="47"/>
      <c r="E36" s="48"/>
      <c r="F36" s="48"/>
      <c r="G36" s="48"/>
      <c r="H36" s="48"/>
      <c r="I36" s="48">
        <v>71991.899999999994</v>
      </c>
      <c r="J36" s="48"/>
      <c r="K36" s="48">
        <f>1988+4214.52</f>
        <v>6202.52</v>
      </c>
      <c r="L36" s="48"/>
      <c r="M36" s="48"/>
      <c r="N36" s="48">
        <v>25000</v>
      </c>
      <c r="O36" s="48"/>
      <c r="P36" s="48"/>
      <c r="Q36" s="48"/>
      <c r="R36" s="48"/>
      <c r="S36" s="48"/>
      <c r="T36" s="48">
        <v>810</v>
      </c>
      <c r="U36" s="48">
        <v>420</v>
      </c>
      <c r="V36" s="48">
        <v>4580</v>
      </c>
      <c r="W36" s="48"/>
      <c r="X36" s="48"/>
      <c r="Y36" s="48">
        <v>3851</v>
      </c>
      <c r="Z36" s="48"/>
      <c r="AA36" s="48"/>
      <c r="AB36" s="48"/>
      <c r="AC36" s="48"/>
      <c r="AD36" s="48">
        <f>41.62+278+90</f>
        <v>409.62</v>
      </c>
      <c r="AE36" s="48"/>
      <c r="AF36" s="48"/>
      <c r="AG36" s="48"/>
      <c r="AH36" s="48">
        <v>19897.2</v>
      </c>
      <c r="AI36" s="49">
        <f t="shared" si="3"/>
        <v>133162.23999999999</v>
      </c>
      <c r="AJ36" s="50">
        <f t="shared" si="4"/>
        <v>1193.9199999999837</v>
      </c>
      <c r="AK36" s="51">
        <f>'[2]12-13 for 14-15 Asmt (updated)'!AI36</f>
        <v>131968.32000000001</v>
      </c>
      <c r="AL36" s="48"/>
      <c r="AM36" s="48">
        <f>6200.03+1988+420+810+3614.52</f>
        <v>13032.55</v>
      </c>
      <c r="AN36" s="48" t="s">
        <v>248</v>
      </c>
      <c r="AO36" s="48"/>
      <c r="AP36" s="48"/>
      <c r="AQ36" s="48">
        <v>26538.54</v>
      </c>
      <c r="AR36" s="52">
        <f t="shared" si="5"/>
        <v>0.19929478506819953</v>
      </c>
      <c r="AS36" s="51">
        <f>'[1]08-09 for 10-11 Asmt'!AQ36</f>
        <v>38345.040000000001</v>
      </c>
      <c r="AT36" s="51">
        <f t="shared" si="6"/>
        <v>39571.089999999997</v>
      </c>
      <c r="AU36" s="50">
        <f t="shared" si="0"/>
        <v>-7227.6000000000058</v>
      </c>
      <c r="AV36" s="51">
        <f>'[1]08-09 for 10-11 Asmt'!AT36</f>
        <v>46798.69</v>
      </c>
      <c r="AW36" s="48">
        <f t="shared" si="1"/>
        <v>93591.15</v>
      </c>
      <c r="AX36" s="50">
        <f t="shared" si="2"/>
        <v>30716.62999999999</v>
      </c>
      <c r="AY36" s="51">
        <f>'[1]10-11 for 12-13 Asmt'!AW36</f>
        <v>62874.520000000004</v>
      </c>
      <c r="AZ36" s="54" t="s">
        <v>249</v>
      </c>
      <c r="BA36" s="54" t="s">
        <v>250</v>
      </c>
      <c r="BB36" s="57"/>
      <c r="BC36" s="57"/>
      <c r="BD36" s="57"/>
      <c r="BE36" s="57">
        <f t="shared" si="8"/>
        <v>0</v>
      </c>
      <c r="BF36" s="57">
        <v>2511.2059999999997</v>
      </c>
      <c r="BG36" s="57">
        <v>2081</v>
      </c>
      <c r="BH36" s="57">
        <v>8000</v>
      </c>
      <c r="BI36" s="57">
        <v>4000</v>
      </c>
      <c r="BJ36" s="57">
        <v>2000</v>
      </c>
      <c r="BK36" s="57">
        <v>1000</v>
      </c>
      <c r="BL36" s="56">
        <v>2000</v>
      </c>
      <c r="BM36" s="56">
        <v>1000</v>
      </c>
      <c r="BN36" s="56">
        <v>4873</v>
      </c>
      <c r="BO36" s="56">
        <v>5647</v>
      </c>
      <c r="BP36" s="56">
        <v>5260</v>
      </c>
      <c r="BQ36" s="56">
        <v>5459</v>
      </c>
      <c r="BR36" s="56">
        <v>5841.3629261191682</v>
      </c>
      <c r="BS36" s="56">
        <v>5359.692996998112</v>
      </c>
      <c r="BT36" s="57"/>
      <c r="BU36" s="46" t="s">
        <v>251</v>
      </c>
    </row>
    <row r="37" spans="1:73">
      <c r="A37" s="45" t="s">
        <v>252</v>
      </c>
      <c r="B37" s="46" t="s">
        <v>253</v>
      </c>
      <c r="C37" s="59"/>
      <c r="D37" s="59"/>
      <c r="E37" s="60"/>
      <c r="F37" s="60"/>
      <c r="G37" s="60"/>
      <c r="H37" s="60"/>
      <c r="I37" s="60">
        <v>47160.46</v>
      </c>
      <c r="J37" s="60"/>
      <c r="K37" s="60"/>
      <c r="L37" s="60"/>
      <c r="M37" s="60"/>
      <c r="N37" s="60"/>
      <c r="O37" s="60"/>
      <c r="P37" s="60"/>
      <c r="Q37" s="60">
        <v>3212.97</v>
      </c>
      <c r="R37" s="60"/>
      <c r="S37" s="60"/>
      <c r="T37" s="60">
        <v>560</v>
      </c>
      <c r="U37" s="60"/>
      <c r="V37" s="60"/>
      <c r="W37" s="60"/>
      <c r="X37" s="60">
        <v>1269</v>
      </c>
      <c r="Y37" s="60"/>
      <c r="Z37" s="60">
        <f>11765.07-1269</f>
        <v>10496.07</v>
      </c>
      <c r="AA37" s="60"/>
      <c r="AB37" s="60"/>
      <c r="AC37" s="60"/>
      <c r="AD37" s="60">
        <v>301.66000000000003</v>
      </c>
      <c r="AE37" s="60"/>
      <c r="AF37" s="60">
        <v>4292.67</v>
      </c>
      <c r="AG37" s="60"/>
      <c r="AH37" s="60"/>
      <c r="AI37" s="49">
        <f>SUM(C37:AH37)-(H37)</f>
        <v>67292.83</v>
      </c>
      <c r="AJ37" s="50">
        <f>(AI37-AK37)</f>
        <v>8877.9700000000084</v>
      </c>
      <c r="AK37" s="51">
        <f>'[2]12-13 for 14-15 Asmt (updated)'!AI37</f>
        <v>58414.859999999993</v>
      </c>
      <c r="AL37" s="48">
        <v>243.93</v>
      </c>
      <c r="AM37" s="48">
        <f>560+10496.07</f>
        <v>11056.07</v>
      </c>
      <c r="AN37" s="60" t="s">
        <v>254</v>
      </c>
      <c r="AO37" s="48">
        <v>1269</v>
      </c>
      <c r="AP37" s="48"/>
      <c r="AQ37" s="48">
        <v>1342.64</v>
      </c>
      <c r="AR37" s="52">
        <f>(AQ37/AI37)</f>
        <v>1.9952199959490484E-2</v>
      </c>
      <c r="AS37" s="51">
        <f>'[1]08-09 for 10-11 Asmt'!AQ37</f>
        <v>1210</v>
      </c>
      <c r="AT37" s="51">
        <f>SUM(AL37+AM37+AO37+AQ37)</f>
        <v>13911.64</v>
      </c>
      <c r="AU37" s="50">
        <f>(AT37-AV37)</f>
        <v>12353.529999999999</v>
      </c>
      <c r="AV37" s="51">
        <f>'[1]08-09 for 10-11 Asmt'!AT37</f>
        <v>1558.1100000000001</v>
      </c>
      <c r="AW37" s="48">
        <f>(AI37-AT37)</f>
        <v>53381.19</v>
      </c>
      <c r="AX37" s="50">
        <f>(AW37-AY37)</f>
        <v>-1614.75</v>
      </c>
      <c r="AY37" s="51">
        <f>'[1]10-11 for 12-13 Asmt'!AW37</f>
        <v>54995.94</v>
      </c>
      <c r="AZ37" s="61"/>
      <c r="BA37" s="61"/>
      <c r="BB37" s="72"/>
      <c r="BC37" s="73"/>
      <c r="BD37" s="72"/>
      <c r="BE37" s="72">
        <f t="shared" si="8"/>
        <v>0</v>
      </c>
      <c r="BF37" s="62">
        <v>2726.11</v>
      </c>
      <c r="BG37" s="64">
        <v>2835</v>
      </c>
      <c r="BH37" s="64">
        <v>9063.6503298914067</v>
      </c>
      <c r="BI37" s="64">
        <v>8788</v>
      </c>
      <c r="BJ37" s="64">
        <v>8788</v>
      </c>
      <c r="BK37" s="64">
        <v>9114.5225325396586</v>
      </c>
      <c r="BL37" s="63">
        <v>8674</v>
      </c>
      <c r="BM37" s="63">
        <v>6906</v>
      </c>
      <c r="BN37" s="63">
        <v>7674</v>
      </c>
      <c r="BO37" s="63">
        <v>7584</v>
      </c>
      <c r="BP37" s="63">
        <v>6019</v>
      </c>
      <c r="BQ37" s="63">
        <v>5878</v>
      </c>
      <c r="BR37" s="63">
        <v>5415.5366210664733</v>
      </c>
      <c r="BS37" s="63">
        <v>5803.8027123859256</v>
      </c>
      <c r="BT37" s="64"/>
      <c r="BU37" s="65" t="s">
        <v>253</v>
      </c>
    </row>
    <row r="38" spans="1:73">
      <c r="A38" s="45" t="s">
        <v>255</v>
      </c>
      <c r="B38" s="46" t="s">
        <v>256</v>
      </c>
      <c r="C38" s="59"/>
      <c r="D38" s="59"/>
      <c r="E38" s="60"/>
      <c r="F38" s="60"/>
      <c r="G38" s="60"/>
      <c r="H38" s="60"/>
      <c r="I38" s="60">
        <v>110639.92</v>
      </c>
      <c r="J38" s="60"/>
      <c r="K38" s="60"/>
      <c r="L38" s="60"/>
      <c r="M38" s="60"/>
      <c r="N38" s="60"/>
      <c r="O38" s="60"/>
      <c r="P38" s="60">
        <f>493.09+1539.7</f>
        <v>2032.79</v>
      </c>
      <c r="Q38" s="60">
        <f>4.71+1798.07</f>
        <v>1802.78</v>
      </c>
      <c r="R38" s="60"/>
      <c r="S38" s="60"/>
      <c r="T38" s="60">
        <v>1700</v>
      </c>
      <c r="U38" s="60">
        <v>857</v>
      </c>
      <c r="V38" s="60">
        <v>250</v>
      </c>
      <c r="W38" s="60"/>
      <c r="X38" s="60"/>
      <c r="Y38" s="60"/>
      <c r="Z38" s="60"/>
      <c r="AA38" s="60"/>
      <c r="AB38" s="60"/>
      <c r="AC38" s="60"/>
      <c r="AD38" s="60">
        <f>344.56+266+150</f>
        <v>760.56</v>
      </c>
      <c r="AE38" s="60"/>
      <c r="AF38" s="60">
        <v>46560.75</v>
      </c>
      <c r="AG38" s="60"/>
      <c r="AH38" s="60">
        <v>13008</v>
      </c>
      <c r="AI38" s="49">
        <f t="shared" si="3"/>
        <v>177611.8</v>
      </c>
      <c r="AJ38" s="50">
        <f t="shared" si="4"/>
        <v>-39604.950000000012</v>
      </c>
      <c r="AK38" s="51">
        <f>'[2]12-13 for 14-15 Asmt (updated)'!AI38</f>
        <v>217216.75</v>
      </c>
      <c r="AL38" s="48">
        <v>10178.41</v>
      </c>
      <c r="AM38" s="48">
        <f>8770.34+19567.39+857+1700</f>
        <v>30894.73</v>
      </c>
      <c r="AN38" s="60" t="s">
        <v>257</v>
      </c>
      <c r="AO38" s="48"/>
      <c r="AP38" s="48"/>
      <c r="AQ38" s="48"/>
      <c r="AR38" s="52">
        <f t="shared" si="5"/>
        <v>0</v>
      </c>
      <c r="AS38" s="51" t="e">
        <f>'[1]08-09 for 10-11 Asmt'!AQ38</f>
        <v>#REF!</v>
      </c>
      <c r="AT38" s="51">
        <f t="shared" si="6"/>
        <v>41073.14</v>
      </c>
      <c r="AU38" s="50">
        <f t="shared" si="0"/>
        <v>-18041.740000000005</v>
      </c>
      <c r="AV38" s="51">
        <f>'[1]08-09 for 10-11 Asmt'!AT38</f>
        <v>59114.880000000005</v>
      </c>
      <c r="AW38" s="48">
        <f t="shared" si="1"/>
        <v>136538.65999999997</v>
      </c>
      <c r="AX38" s="50">
        <f t="shared" si="2"/>
        <v>-25790.5</v>
      </c>
      <c r="AY38" s="51">
        <f>'[1]10-11 for 12-13 Asmt'!AW38</f>
        <v>162329.15999999997</v>
      </c>
      <c r="AZ38" s="61"/>
      <c r="BA38" s="61"/>
      <c r="BB38" s="64"/>
      <c r="BC38" s="63"/>
      <c r="BD38" s="64"/>
      <c r="BE38" s="64">
        <f t="shared" si="8"/>
        <v>0</v>
      </c>
      <c r="BF38" s="64">
        <v>25355.30887853666</v>
      </c>
      <c r="BG38" s="64">
        <v>19067</v>
      </c>
      <c r="BH38" s="64">
        <v>18573.707136807032</v>
      </c>
      <c r="BI38" s="64">
        <v>8296</v>
      </c>
      <c r="BJ38" s="64">
        <v>16011</v>
      </c>
      <c r="BK38" s="64">
        <v>16237.804288786858</v>
      </c>
      <c r="BL38" s="63">
        <v>11252</v>
      </c>
      <c r="BM38" s="63">
        <v>13231</v>
      </c>
      <c r="BN38" s="63">
        <v>8273</v>
      </c>
      <c r="BO38" s="63">
        <v>12666</v>
      </c>
      <c r="BP38" s="63">
        <v>11205</v>
      </c>
      <c r="BQ38" s="63">
        <v>6142</v>
      </c>
      <c r="BR38" s="63">
        <v>7755.6494250504447</v>
      </c>
      <c r="BS38" s="63">
        <v>5912.6461353747682</v>
      </c>
      <c r="BT38" s="64"/>
      <c r="BU38" s="65" t="s">
        <v>256</v>
      </c>
    </row>
    <row r="39" spans="1:73" s="58" customFormat="1" ht="22.5">
      <c r="A39" s="45" t="s">
        <v>255</v>
      </c>
      <c r="B39" s="46" t="s">
        <v>258</v>
      </c>
      <c r="C39" s="47"/>
      <c r="D39" s="47"/>
      <c r="E39" s="48"/>
      <c r="F39" s="48"/>
      <c r="G39" s="48"/>
      <c r="H39" s="48"/>
      <c r="I39" s="48">
        <v>53806.44</v>
      </c>
      <c r="J39" s="48"/>
      <c r="K39" s="48"/>
      <c r="L39" s="48"/>
      <c r="M39" s="48"/>
      <c r="N39" s="48"/>
      <c r="O39" s="48"/>
      <c r="P39" s="48"/>
      <c r="Q39" s="48">
        <f>47.57+7.93</f>
        <v>55.5</v>
      </c>
      <c r="R39" s="48"/>
      <c r="S39" s="48"/>
      <c r="T39" s="48">
        <v>2710.4</v>
      </c>
      <c r="U39" s="48">
        <v>579.75</v>
      </c>
      <c r="V39" s="48"/>
      <c r="W39" s="48"/>
      <c r="X39" s="48">
        <v>16341</v>
      </c>
      <c r="Y39" s="48"/>
      <c r="Z39" s="48"/>
      <c r="AA39" s="48"/>
      <c r="AB39" s="48"/>
      <c r="AC39" s="48"/>
      <c r="AD39" s="48">
        <v>9069.43</v>
      </c>
      <c r="AE39" s="48"/>
      <c r="AF39" s="48"/>
      <c r="AG39" s="48"/>
      <c r="AH39" s="48"/>
      <c r="AI39" s="49">
        <f t="shared" si="3"/>
        <v>82562.51999999999</v>
      </c>
      <c r="AJ39" s="50">
        <f t="shared" si="4"/>
        <v>-409.57000000000698</v>
      </c>
      <c r="AK39" s="51">
        <f>'[2]12-13 for 14-15 Asmt (updated)'!AI39</f>
        <v>82972.09</v>
      </c>
      <c r="AL39" s="48"/>
      <c r="AM39" s="48">
        <f>579.75+2710.4</f>
        <v>3290.15</v>
      </c>
      <c r="AN39" s="48" t="s">
        <v>259</v>
      </c>
      <c r="AO39" s="48">
        <v>16341</v>
      </c>
      <c r="AP39" s="48"/>
      <c r="AQ39" s="48"/>
      <c r="AR39" s="52">
        <f t="shared" si="5"/>
        <v>0</v>
      </c>
      <c r="AS39" s="51" t="e">
        <f>'[1]08-09 for 10-11 Asmt'!AQ39</f>
        <v>#REF!</v>
      </c>
      <c r="AT39" s="51">
        <f t="shared" si="6"/>
        <v>19631.150000000001</v>
      </c>
      <c r="AU39" s="50">
        <f t="shared" si="0"/>
        <v>8191.6</v>
      </c>
      <c r="AV39" s="51">
        <f>'[1]08-09 for 10-11 Asmt'!AT39</f>
        <v>11439.550000000001</v>
      </c>
      <c r="AW39" s="48">
        <f t="shared" si="1"/>
        <v>62931.369999999988</v>
      </c>
      <c r="AX39" s="50">
        <f t="shared" si="2"/>
        <v>18918.25999999998</v>
      </c>
      <c r="AY39" s="51">
        <f>'[1]10-11 for 12-13 Asmt'!AW39</f>
        <v>44013.110000000008</v>
      </c>
      <c r="AZ39" s="54" t="s">
        <v>260</v>
      </c>
      <c r="BA39" s="54" t="s">
        <v>261</v>
      </c>
      <c r="BB39" s="57"/>
      <c r="BC39" s="56"/>
      <c r="BD39" s="57"/>
      <c r="BE39" s="57">
        <f t="shared" si="8"/>
        <v>0</v>
      </c>
      <c r="BF39" s="57">
        <v>2388.4435000000003</v>
      </c>
      <c r="BG39" s="57">
        <v>1901</v>
      </c>
      <c r="BH39" s="57">
        <v>6747.1608930760567</v>
      </c>
      <c r="BI39" s="57">
        <v>5093</v>
      </c>
      <c r="BJ39" s="57">
        <v>5080</v>
      </c>
      <c r="BK39" s="57">
        <v>4000</v>
      </c>
      <c r="BL39" s="56">
        <v>2000</v>
      </c>
      <c r="BM39" s="56">
        <v>2000</v>
      </c>
      <c r="BN39" s="56">
        <v>1000</v>
      </c>
      <c r="BO39" s="56">
        <v>4650</v>
      </c>
      <c r="BP39" s="56">
        <v>1101</v>
      </c>
      <c r="BQ39" s="56">
        <v>4632</v>
      </c>
      <c r="BR39" s="56">
        <v>3668.2200937192079</v>
      </c>
      <c r="BS39" s="56">
        <v>2911.1089803679529</v>
      </c>
      <c r="BT39" s="57"/>
      <c r="BU39" s="46" t="s">
        <v>258</v>
      </c>
    </row>
    <row r="40" spans="1:73" ht="12" customHeight="1">
      <c r="A40" s="45" t="s">
        <v>262</v>
      </c>
      <c r="B40" s="46" t="s">
        <v>263</v>
      </c>
      <c r="C40" s="59"/>
      <c r="D40" s="59"/>
      <c r="E40" s="60"/>
      <c r="F40" s="60"/>
      <c r="G40" s="60"/>
      <c r="H40" s="60"/>
      <c r="I40" s="60">
        <v>120020.02</v>
      </c>
      <c r="J40" s="60"/>
      <c r="K40" s="60"/>
      <c r="L40" s="60"/>
      <c r="M40" s="60"/>
      <c r="N40" s="60"/>
      <c r="O40" s="60"/>
      <c r="P40" s="60">
        <v>1683.68</v>
      </c>
      <c r="Q40" s="60">
        <v>13.06</v>
      </c>
      <c r="R40" s="60"/>
      <c r="S40" s="60"/>
      <c r="T40" s="60"/>
      <c r="U40" s="60"/>
      <c r="V40" s="60">
        <v>355</v>
      </c>
      <c r="W40" s="60"/>
      <c r="X40" s="60">
        <v>9515</v>
      </c>
      <c r="Y40" s="60"/>
      <c r="Z40" s="60"/>
      <c r="AA40" s="60"/>
      <c r="AB40" s="60"/>
      <c r="AC40" s="60"/>
      <c r="AD40" s="60">
        <v>22.4</v>
      </c>
      <c r="AE40" s="60"/>
      <c r="AF40" s="60">
        <v>12488.97</v>
      </c>
      <c r="AG40" s="60"/>
      <c r="AH40" s="60">
        <f>1920+15211.89+7008.35</f>
        <v>24140.239999999998</v>
      </c>
      <c r="AI40" s="49">
        <f t="shared" si="3"/>
        <v>168238.37</v>
      </c>
      <c r="AJ40" s="50">
        <f t="shared" si="4"/>
        <v>-11251.890000000014</v>
      </c>
      <c r="AK40" s="51">
        <f>'[2]12-13 for 14-15 Asmt (updated)'!AI40</f>
        <v>179490.26</v>
      </c>
      <c r="AL40" s="48">
        <v>25945.57</v>
      </c>
      <c r="AM40" s="48">
        <v>17217.87</v>
      </c>
      <c r="AN40" s="60" t="s">
        <v>190</v>
      </c>
      <c r="AO40" s="48">
        <v>9515</v>
      </c>
      <c r="AP40" s="48"/>
      <c r="AQ40" s="48"/>
      <c r="AR40" s="52">
        <f t="shared" si="5"/>
        <v>0</v>
      </c>
      <c r="AS40" s="51" t="e">
        <f>'[1]08-09 for 10-11 Asmt'!AQ40</f>
        <v>#REF!</v>
      </c>
      <c r="AT40" s="51">
        <f t="shared" si="6"/>
        <v>52678.44</v>
      </c>
      <c r="AU40" s="50">
        <f t="shared" si="0"/>
        <v>6308.3000000000029</v>
      </c>
      <c r="AV40" s="51">
        <f>'[1]08-09 for 10-11 Asmt'!AT40</f>
        <v>46370.14</v>
      </c>
      <c r="AW40" s="48">
        <f t="shared" si="1"/>
        <v>115559.93</v>
      </c>
      <c r="AX40" s="50">
        <f t="shared" si="2"/>
        <v>36158.680000000008</v>
      </c>
      <c r="AY40" s="51">
        <f>'[1]10-11 for 12-13 Asmt'!AW40</f>
        <v>79401.249999999985</v>
      </c>
      <c r="AZ40" s="61"/>
      <c r="BA40" s="60"/>
      <c r="BB40" s="64"/>
      <c r="BC40" s="63"/>
      <c r="BD40" s="64"/>
      <c r="BE40" s="64">
        <f t="shared" si="8"/>
        <v>0</v>
      </c>
      <c r="BF40" s="64">
        <v>14654.01302328266</v>
      </c>
      <c r="BG40" s="64">
        <v>16530</v>
      </c>
      <c r="BH40" s="64">
        <v>17520.125949628993</v>
      </c>
      <c r="BI40" s="64">
        <v>17900</v>
      </c>
      <c r="BJ40" s="64">
        <v>16722</v>
      </c>
      <c r="BK40" s="64">
        <v>15972.601073529238</v>
      </c>
      <c r="BL40" s="63">
        <v>14508</v>
      </c>
      <c r="BM40" s="63">
        <v>12734</v>
      </c>
      <c r="BN40" s="63">
        <v>11136</v>
      </c>
      <c r="BO40" s="63">
        <v>10991</v>
      </c>
      <c r="BP40" s="63">
        <v>9455</v>
      </c>
      <c r="BQ40" s="63">
        <v>9446</v>
      </c>
      <c r="BR40" s="63">
        <v>7051.1205030455321</v>
      </c>
      <c r="BS40" s="63">
        <v>8451.4491488950771</v>
      </c>
      <c r="BT40" s="64"/>
      <c r="BU40" s="65" t="s">
        <v>263</v>
      </c>
    </row>
    <row r="41" spans="1:73" s="58" customFormat="1">
      <c r="A41" s="45" t="s">
        <v>264</v>
      </c>
      <c r="B41" s="46" t="s">
        <v>265</v>
      </c>
      <c r="C41" s="47"/>
      <c r="D41" s="47"/>
      <c r="E41" s="48">
        <v>100</v>
      </c>
      <c r="F41" s="48"/>
      <c r="G41" s="48"/>
      <c r="H41" s="48"/>
      <c r="I41" s="48">
        <v>44727.09</v>
      </c>
      <c r="J41" s="48"/>
      <c r="K41" s="48">
        <v>82.5</v>
      </c>
      <c r="L41" s="48"/>
      <c r="M41" s="48"/>
      <c r="N41" s="48"/>
      <c r="O41" s="48"/>
      <c r="P41" s="48"/>
      <c r="Q41" s="48">
        <v>22.25</v>
      </c>
      <c r="R41" s="48"/>
      <c r="S41" s="48"/>
      <c r="T41" s="48">
        <v>3572</v>
      </c>
      <c r="U41" s="48">
        <v>670</v>
      </c>
      <c r="V41" s="48">
        <v>337.5</v>
      </c>
      <c r="W41" s="48"/>
      <c r="X41" s="48"/>
      <c r="Y41" s="48"/>
      <c r="Z41" s="48">
        <v>2084</v>
      </c>
      <c r="AA41" s="48"/>
      <c r="AB41" s="48"/>
      <c r="AC41" s="48"/>
      <c r="AD41" s="48">
        <f>251.71+317+733.59</f>
        <v>1302.3000000000002</v>
      </c>
      <c r="AE41" s="48"/>
      <c r="AF41" s="48"/>
      <c r="AG41" s="48">
        <v>6000</v>
      </c>
      <c r="AH41" s="48">
        <v>39840.400000000001</v>
      </c>
      <c r="AI41" s="49">
        <f t="shared" si="3"/>
        <v>98738.040000000008</v>
      </c>
      <c r="AJ41" s="50">
        <f t="shared" si="4"/>
        <v>-13433.489999999991</v>
      </c>
      <c r="AK41" s="51">
        <f>'[2]12-13 for 14-15 Asmt (updated)'!AI41</f>
        <v>112171.53</v>
      </c>
      <c r="AL41" s="48">
        <v>4623.21</v>
      </c>
      <c r="AM41" s="48">
        <f>29927.47+670+3572</f>
        <v>34169.47</v>
      </c>
      <c r="AN41" s="48" t="s">
        <v>266</v>
      </c>
      <c r="AO41" s="48"/>
      <c r="AP41" s="48"/>
      <c r="AQ41" s="48"/>
      <c r="AR41" s="52">
        <f t="shared" si="5"/>
        <v>0</v>
      </c>
      <c r="AS41" s="51" t="e">
        <f>'[1]08-09 for 10-11 Asmt'!AQ41</f>
        <v>#REF!</v>
      </c>
      <c r="AT41" s="51">
        <f t="shared" si="6"/>
        <v>38792.68</v>
      </c>
      <c r="AU41" s="50">
        <f t="shared" si="0"/>
        <v>2.1900000000023283</v>
      </c>
      <c r="AV41" s="51">
        <f>'[1]08-09 for 10-11 Asmt'!AT41</f>
        <v>38790.49</v>
      </c>
      <c r="AW41" s="48">
        <f t="shared" si="1"/>
        <v>59945.360000000008</v>
      </c>
      <c r="AX41" s="50">
        <f t="shared" si="2"/>
        <v>1071.3600000000079</v>
      </c>
      <c r="AY41" s="51">
        <f>'[1]10-11 for 12-13 Asmt'!AW41</f>
        <v>58874</v>
      </c>
      <c r="AZ41" s="54" t="s">
        <v>267</v>
      </c>
      <c r="BA41" s="54"/>
      <c r="BB41" s="57"/>
      <c r="BC41" s="57"/>
      <c r="BD41" s="57"/>
      <c r="BE41" s="57">
        <f t="shared" si="8"/>
        <v>0</v>
      </c>
      <c r="BF41" s="57">
        <v>2929.93</v>
      </c>
      <c r="BG41" s="57">
        <v>11097</v>
      </c>
      <c r="BH41" s="57">
        <v>8235.9338463825188</v>
      </c>
      <c r="BI41" s="57">
        <v>8000</v>
      </c>
      <c r="BJ41" s="57">
        <v>4000</v>
      </c>
      <c r="BK41" s="57">
        <v>2000</v>
      </c>
      <c r="BL41" s="56">
        <v>1500</v>
      </c>
      <c r="BM41" s="56">
        <v>7191</v>
      </c>
      <c r="BN41" s="56">
        <v>5592</v>
      </c>
      <c r="BO41" s="56">
        <v>7050</v>
      </c>
      <c r="BP41" s="56">
        <v>5840</v>
      </c>
      <c r="BQ41" s="56">
        <v>5248</v>
      </c>
      <c r="BR41" s="56">
        <v>5052.2840897952819</v>
      </c>
      <c r="BS41" s="56">
        <v>5028.97410208168</v>
      </c>
      <c r="BT41" s="57"/>
      <c r="BU41" s="46" t="s">
        <v>265</v>
      </c>
    </row>
    <row r="42" spans="1:73" ht="22.5">
      <c r="A42" s="45" t="s">
        <v>268</v>
      </c>
      <c r="B42" s="46" t="s">
        <v>269</v>
      </c>
      <c r="C42" s="59"/>
      <c r="D42" s="59"/>
      <c r="E42" s="60"/>
      <c r="F42" s="60"/>
      <c r="G42" s="60"/>
      <c r="H42" s="60"/>
      <c r="I42" s="60">
        <v>89921.94</v>
      </c>
      <c r="J42" s="60"/>
      <c r="K42" s="60">
        <v>723.5</v>
      </c>
      <c r="L42" s="60"/>
      <c r="M42" s="60"/>
      <c r="N42" s="60"/>
      <c r="O42" s="60"/>
      <c r="P42" s="60"/>
      <c r="Q42" s="60">
        <v>1200</v>
      </c>
      <c r="R42" s="60"/>
      <c r="S42" s="60"/>
      <c r="T42" s="60"/>
      <c r="U42" s="60"/>
      <c r="V42" s="60">
        <v>600</v>
      </c>
      <c r="W42" s="60"/>
      <c r="X42" s="60"/>
      <c r="Y42" s="60"/>
      <c r="Z42" s="60"/>
      <c r="AA42" s="60"/>
      <c r="AB42" s="60"/>
      <c r="AC42" s="60"/>
      <c r="AD42" s="60">
        <v>1158.8699999999999</v>
      </c>
      <c r="AE42" s="60"/>
      <c r="AF42" s="60"/>
      <c r="AG42" s="60"/>
      <c r="AH42" s="60"/>
      <c r="AI42" s="49">
        <f t="shared" si="3"/>
        <v>93604.31</v>
      </c>
      <c r="AJ42" s="50">
        <f t="shared" si="4"/>
        <v>10162.330000000016</v>
      </c>
      <c r="AK42" s="51">
        <f>'[2]12-13 for 14-15 Asmt (updated)'!AI42</f>
        <v>83441.979999999981</v>
      </c>
      <c r="AL42" s="48">
        <f>2956.67+271.97+86.75</f>
        <v>3315.3900000000003</v>
      </c>
      <c r="AM42" s="48"/>
      <c r="AN42" s="60"/>
      <c r="AO42" s="48"/>
      <c r="AP42" s="48"/>
      <c r="AQ42" s="48"/>
      <c r="AR42" s="52">
        <f t="shared" si="5"/>
        <v>0</v>
      </c>
      <c r="AS42" s="51" t="e">
        <f>'[1]08-09 for 10-11 Asmt'!AQ42</f>
        <v>#REF!</v>
      </c>
      <c r="AT42" s="51">
        <f t="shared" si="6"/>
        <v>3315.3900000000003</v>
      </c>
      <c r="AU42" s="50">
        <f t="shared" si="0"/>
        <v>-2591.7599999999993</v>
      </c>
      <c r="AV42" s="51">
        <f>'[1]08-09 for 10-11 Asmt'!AT42</f>
        <v>5907.15</v>
      </c>
      <c r="AW42" s="48">
        <f t="shared" si="1"/>
        <v>90288.92</v>
      </c>
      <c r="AX42" s="50">
        <f t="shared" si="2"/>
        <v>6825.2400000000052</v>
      </c>
      <c r="AY42" s="51">
        <f>'[1]10-11 for 12-13 Asmt'!AW42</f>
        <v>83463.679999999993</v>
      </c>
      <c r="AZ42" s="61"/>
      <c r="BA42" s="61" t="s">
        <v>270</v>
      </c>
      <c r="BB42" s="64"/>
      <c r="BC42" s="63"/>
      <c r="BD42" s="64"/>
      <c r="BE42" s="64">
        <f t="shared" si="8"/>
        <v>0</v>
      </c>
      <c r="BF42" s="64">
        <v>11421.126752381035</v>
      </c>
      <c r="BG42" s="64">
        <v>12395</v>
      </c>
      <c r="BH42" s="64">
        <v>11622.502767475051</v>
      </c>
      <c r="BI42" s="64">
        <v>9423</v>
      </c>
      <c r="BJ42" s="64">
        <v>8298</v>
      </c>
      <c r="BK42" s="64">
        <v>7409.7203251534993</v>
      </c>
      <c r="BL42" s="63">
        <v>10143</v>
      </c>
      <c r="BM42" s="63">
        <v>7212</v>
      </c>
      <c r="BN42" s="63">
        <v>7569</v>
      </c>
      <c r="BO42" s="63">
        <v>7515</v>
      </c>
      <c r="BP42" s="63">
        <v>6429</v>
      </c>
      <c r="BQ42" s="63">
        <v>6470</v>
      </c>
      <c r="BR42" s="63">
        <v>5858.4534303545088</v>
      </c>
      <c r="BS42" s="63">
        <v>6299.0240598628325</v>
      </c>
      <c r="BT42" s="64"/>
      <c r="BU42" s="65" t="s">
        <v>269</v>
      </c>
    </row>
    <row r="43" spans="1:73" ht="12" customHeight="1">
      <c r="A43" s="45" t="s">
        <v>271</v>
      </c>
      <c r="B43" s="46" t="s">
        <v>272</v>
      </c>
      <c r="C43" s="59"/>
      <c r="D43" s="59"/>
      <c r="E43" s="60">
        <v>3000</v>
      </c>
      <c r="F43" s="60"/>
      <c r="G43" s="60"/>
      <c r="H43" s="60"/>
      <c r="I43" s="60">
        <v>68246.63</v>
      </c>
      <c r="J43" s="60"/>
      <c r="K43" s="60"/>
      <c r="L43" s="60"/>
      <c r="M43" s="60"/>
      <c r="N43" s="60"/>
      <c r="O43" s="60"/>
      <c r="P43" s="60">
        <v>969.66</v>
      </c>
      <c r="Q43" s="60"/>
      <c r="R43" s="60">
        <v>793.75</v>
      </c>
      <c r="S43" s="60"/>
      <c r="T43" s="60"/>
      <c r="U43" s="60"/>
      <c r="V43" s="60">
        <v>1100</v>
      </c>
      <c r="W43" s="60"/>
      <c r="X43" s="60"/>
      <c r="Y43" s="60"/>
      <c r="Z43" s="60"/>
      <c r="AA43" s="60"/>
      <c r="AB43" s="60"/>
      <c r="AC43" s="60"/>
      <c r="AD43" s="60"/>
      <c r="AE43" s="60"/>
      <c r="AF43" s="60">
        <v>9294.48</v>
      </c>
      <c r="AG43" s="60"/>
      <c r="AH43" s="60"/>
      <c r="AI43" s="49">
        <f t="shared" si="3"/>
        <v>83404.52</v>
      </c>
      <c r="AJ43" s="50">
        <f t="shared" si="4"/>
        <v>1835.1800000000076</v>
      </c>
      <c r="AK43" s="51">
        <f>'[2]12-13 for 14-15 Asmt (updated)'!AI43</f>
        <v>81569.34</v>
      </c>
      <c r="AL43" s="48">
        <v>33.880000000000003</v>
      </c>
      <c r="AM43" s="48"/>
      <c r="AN43" s="60"/>
      <c r="AO43" s="48"/>
      <c r="AP43" s="48"/>
      <c r="AQ43" s="48">
        <v>2250.64</v>
      </c>
      <c r="AR43" s="52">
        <f t="shared" si="5"/>
        <v>2.6984628650821321E-2</v>
      </c>
      <c r="AS43" s="51" t="e">
        <f>'[1]08-09 for 10-11 Asmt'!AQ43</f>
        <v>#REF!</v>
      </c>
      <c r="AT43" s="51">
        <f t="shared" si="6"/>
        <v>2284.52</v>
      </c>
      <c r="AU43" s="50">
        <f t="shared" si="0"/>
        <v>-2188.3300000000004</v>
      </c>
      <c r="AV43" s="51">
        <f>'[1]08-09 for 10-11 Asmt'!AT43</f>
        <v>4472.8500000000004</v>
      </c>
      <c r="AW43" s="48">
        <f t="shared" si="1"/>
        <v>81120</v>
      </c>
      <c r="AX43" s="50">
        <f t="shared" si="2"/>
        <v>16205.729999999996</v>
      </c>
      <c r="AY43" s="51">
        <f>'[1]10-11 for 12-13 Asmt'!AW43</f>
        <v>64914.270000000004</v>
      </c>
      <c r="AZ43" s="61"/>
      <c r="BB43" s="64"/>
      <c r="BC43" s="63"/>
      <c r="BD43" s="64"/>
      <c r="BE43" s="64">
        <f t="shared" si="8"/>
        <v>0</v>
      </c>
      <c r="BF43" s="64">
        <v>4698</v>
      </c>
      <c r="BG43" s="64">
        <v>2349</v>
      </c>
      <c r="BH43" s="64">
        <v>1500</v>
      </c>
      <c r="BI43" s="64">
        <v>5283</v>
      </c>
      <c r="BJ43" s="64">
        <v>4000</v>
      </c>
      <c r="BK43" s="64">
        <v>2000</v>
      </c>
      <c r="BL43" s="63">
        <v>1000</v>
      </c>
      <c r="BM43" s="63">
        <v>5326</v>
      </c>
      <c r="BN43" s="63">
        <v>5728</v>
      </c>
      <c r="BO43" s="63">
        <v>5082</v>
      </c>
      <c r="BP43" s="63">
        <v>5008</v>
      </c>
      <c r="BQ43" s="63">
        <v>5027</v>
      </c>
      <c r="BR43" s="63">
        <v>3011.5084301105558</v>
      </c>
      <c r="BS43" s="63">
        <v>2782.4950907662828</v>
      </c>
      <c r="BT43" s="64"/>
      <c r="BU43" s="65" t="s">
        <v>273</v>
      </c>
    </row>
    <row r="44" spans="1:73" s="58" customFormat="1" ht="45">
      <c r="A44" s="45" t="s">
        <v>271</v>
      </c>
      <c r="B44" s="46" t="s">
        <v>274</v>
      </c>
      <c r="C44" s="47"/>
      <c r="D44" s="47"/>
      <c r="E44" s="48"/>
      <c r="F44" s="48"/>
      <c r="G44" s="48"/>
      <c r="H44" s="48"/>
      <c r="I44" s="48">
        <v>68912.86</v>
      </c>
      <c r="J44" s="48"/>
      <c r="K44" s="48">
        <v>2548</v>
      </c>
      <c r="L44" s="48"/>
      <c r="M44" s="48"/>
      <c r="N44" s="48"/>
      <c r="O44" s="48"/>
      <c r="P44" s="48"/>
      <c r="Q44" s="48">
        <v>6.73</v>
      </c>
      <c r="R44" s="48"/>
      <c r="S44" s="48">
        <v>235</v>
      </c>
      <c r="T44" s="48"/>
      <c r="U44" s="48">
        <v>1339</v>
      </c>
      <c r="V44" s="48">
        <v>500</v>
      </c>
      <c r="W44" s="48"/>
      <c r="X44" s="48"/>
      <c r="Y44" s="48"/>
      <c r="Z44" s="48">
        <f>9265.4-500</f>
        <v>8765.4</v>
      </c>
      <c r="AA44" s="48"/>
      <c r="AB44" s="48"/>
      <c r="AC44" s="48"/>
      <c r="AD44" s="48"/>
      <c r="AE44" s="48"/>
      <c r="AF44" s="48"/>
      <c r="AG44" s="48"/>
      <c r="AH44" s="48"/>
      <c r="AI44" s="49">
        <f t="shared" si="3"/>
        <v>82306.989999999991</v>
      </c>
      <c r="AJ44" s="50">
        <f t="shared" si="4"/>
        <v>9108.4599999999773</v>
      </c>
      <c r="AK44" s="51">
        <f>'[2]12-13 for 14-15 Asmt (updated)'!AI44</f>
        <v>73198.530000000013</v>
      </c>
      <c r="AL44" s="48"/>
      <c r="AM44" s="48">
        <f>2548+1339</f>
        <v>3887</v>
      </c>
      <c r="AN44" s="48" t="s">
        <v>151</v>
      </c>
      <c r="AO44" s="48"/>
      <c r="AP44" s="48"/>
      <c r="AQ44" s="48">
        <v>20252.63</v>
      </c>
      <c r="AR44" s="52">
        <f t="shared" si="5"/>
        <v>0.24606209023073258</v>
      </c>
      <c r="AS44" s="51">
        <f>'[1]08-09 for 10-11 Asmt'!AQ44</f>
        <v>27000</v>
      </c>
      <c r="AT44" s="51">
        <f t="shared" si="6"/>
        <v>24139.63</v>
      </c>
      <c r="AU44" s="50">
        <f t="shared" si="0"/>
        <v>-6451.239999999998</v>
      </c>
      <c r="AV44" s="51">
        <f>'[1]08-09 for 10-11 Asmt'!AT44</f>
        <v>30590.87</v>
      </c>
      <c r="AW44" s="48">
        <f t="shared" si="1"/>
        <v>58167.359999999986</v>
      </c>
      <c r="AX44" s="50">
        <f t="shared" si="2"/>
        <v>20133.549999999988</v>
      </c>
      <c r="AY44" s="51">
        <f>'[1]10-11 for 12-13 Asmt'!AW44</f>
        <v>38033.81</v>
      </c>
      <c r="AZ44" s="54" t="s">
        <v>275</v>
      </c>
      <c r="BA44" s="54" t="s">
        <v>276</v>
      </c>
      <c r="BB44" s="57"/>
      <c r="BC44" s="56"/>
      <c r="BD44" s="57"/>
      <c r="BE44" s="57">
        <f t="shared" si="8"/>
        <v>0</v>
      </c>
      <c r="BF44" s="57">
        <v>2467.1999999999998</v>
      </c>
      <c r="BG44" s="57">
        <v>2115</v>
      </c>
      <c r="BH44" s="57">
        <v>8374.2349529477488</v>
      </c>
      <c r="BI44" s="57">
        <v>9131</v>
      </c>
      <c r="BJ44" s="57">
        <v>8891</v>
      </c>
      <c r="BK44" s="57">
        <v>9267.8970021998175</v>
      </c>
      <c r="BL44" s="56">
        <v>9099</v>
      </c>
      <c r="BM44" s="56">
        <v>6694</v>
      </c>
      <c r="BN44" s="56">
        <v>8180</v>
      </c>
      <c r="BO44" s="56">
        <v>6062</v>
      </c>
      <c r="BP44" s="56">
        <v>1086</v>
      </c>
      <c r="BQ44" s="56">
        <v>1087</v>
      </c>
      <c r="BR44" s="56">
        <v>4155.4519484187404</v>
      </c>
      <c r="BS44" s="56">
        <v>3967.2778594539946</v>
      </c>
      <c r="BT44" s="57"/>
      <c r="BU44" s="46" t="s">
        <v>274</v>
      </c>
    </row>
    <row r="45" spans="1:73" s="58" customFormat="1" ht="22.5">
      <c r="A45" s="45" t="s">
        <v>277</v>
      </c>
      <c r="B45" s="46" t="s">
        <v>278</v>
      </c>
      <c r="C45" s="47"/>
      <c r="D45" s="47"/>
      <c r="E45" s="48"/>
      <c r="F45" s="48"/>
      <c r="G45" s="48"/>
      <c r="H45" s="48"/>
      <c r="I45" s="48">
        <v>91519.47</v>
      </c>
      <c r="J45" s="48"/>
      <c r="K45" s="48">
        <f>920+5075</f>
        <v>5995</v>
      </c>
      <c r="L45" s="48">
        <v>356</v>
      </c>
      <c r="M45" s="48"/>
      <c r="N45" s="48"/>
      <c r="O45" s="48"/>
      <c r="P45" s="48"/>
      <c r="Q45" s="48">
        <v>40.520000000000003</v>
      </c>
      <c r="R45" s="48"/>
      <c r="S45" s="48"/>
      <c r="T45" s="48"/>
      <c r="U45" s="48">
        <v>1885.91</v>
      </c>
      <c r="V45" s="48">
        <v>550</v>
      </c>
      <c r="W45" s="48"/>
      <c r="X45" s="48"/>
      <c r="Y45" s="48"/>
      <c r="Z45" s="48"/>
      <c r="AA45" s="48"/>
      <c r="AB45" s="48"/>
      <c r="AC45" s="48"/>
      <c r="AD45" s="48">
        <f>792.6+271+480.96</f>
        <v>1544.56</v>
      </c>
      <c r="AE45" s="48"/>
      <c r="AF45" s="48"/>
      <c r="AG45" s="48"/>
      <c r="AH45" s="48">
        <v>8732</v>
      </c>
      <c r="AI45" s="49">
        <f t="shared" si="3"/>
        <v>110623.46</v>
      </c>
      <c r="AJ45" s="50">
        <f t="shared" si="4"/>
        <v>17130.710000000021</v>
      </c>
      <c r="AK45" s="51">
        <f>'[2]12-13 for 14-15 Asmt (updated)'!AI45</f>
        <v>93492.749999999985</v>
      </c>
      <c r="AL45" s="48">
        <v>6387.85</v>
      </c>
      <c r="AM45" s="48">
        <f>2552.91+1885.91+356</f>
        <v>4794.82</v>
      </c>
      <c r="AN45" s="48" t="s">
        <v>279</v>
      </c>
      <c r="AO45" s="48"/>
      <c r="AP45" s="48"/>
      <c r="AQ45" s="48"/>
      <c r="AR45" s="52">
        <f t="shared" si="5"/>
        <v>0</v>
      </c>
      <c r="AS45" s="51" t="e">
        <f>'[1]08-09 for 10-11 Asmt'!AQ45</f>
        <v>#REF!</v>
      </c>
      <c r="AT45" s="51">
        <f t="shared" si="6"/>
        <v>11182.67</v>
      </c>
      <c r="AU45" s="50">
        <f t="shared" si="0"/>
        <v>4511.0200000000004</v>
      </c>
      <c r="AV45" s="51">
        <f>'[1]08-09 for 10-11 Asmt'!AT45</f>
        <v>6671.65</v>
      </c>
      <c r="AW45" s="48">
        <f t="shared" si="1"/>
        <v>99440.790000000008</v>
      </c>
      <c r="AX45" s="50">
        <f t="shared" si="2"/>
        <v>20066.570000000007</v>
      </c>
      <c r="AY45" s="51">
        <f>'[1]10-11 for 12-13 Asmt'!AW45</f>
        <v>79374.22</v>
      </c>
      <c r="AZ45" s="54"/>
      <c r="BA45" s="54" t="s">
        <v>280</v>
      </c>
      <c r="BB45" s="57"/>
      <c r="BC45" s="56"/>
      <c r="BD45" s="57"/>
      <c r="BE45" s="57">
        <f t="shared" si="8"/>
        <v>0</v>
      </c>
      <c r="BF45" s="57">
        <v>11574.51683874831</v>
      </c>
      <c r="BG45" s="57">
        <v>11971</v>
      </c>
      <c r="BH45" s="57">
        <v>10794.476449094174</v>
      </c>
      <c r="BI45" s="57">
        <v>10577</v>
      </c>
      <c r="BJ45" s="57">
        <v>9844</v>
      </c>
      <c r="BK45" s="57">
        <v>6740.3889508560387</v>
      </c>
      <c r="BL45" s="56">
        <v>6233</v>
      </c>
      <c r="BM45" s="56">
        <v>6764</v>
      </c>
      <c r="BN45" s="56">
        <v>7041</v>
      </c>
      <c r="BO45" s="56">
        <v>5828</v>
      </c>
      <c r="BP45" s="56">
        <v>6548</v>
      </c>
      <c r="BQ45" s="56">
        <v>6997</v>
      </c>
      <c r="BR45" s="56">
        <v>7093.0560603511585</v>
      </c>
      <c r="BS45" s="56">
        <v>8159.6094248720237</v>
      </c>
      <c r="BT45" s="57"/>
      <c r="BU45" s="46" t="s">
        <v>278</v>
      </c>
    </row>
    <row r="46" spans="1:73">
      <c r="A46" s="45" t="s">
        <v>281</v>
      </c>
      <c r="B46" s="46" t="s">
        <v>197</v>
      </c>
      <c r="C46" s="59"/>
      <c r="D46" s="59"/>
      <c r="E46" s="60"/>
      <c r="F46" s="60"/>
      <c r="G46" s="60"/>
      <c r="H46" s="60"/>
      <c r="I46" s="60">
        <v>802737.03</v>
      </c>
      <c r="J46" s="60"/>
      <c r="K46" s="60"/>
      <c r="L46" s="60">
        <v>6538.97</v>
      </c>
      <c r="M46" s="60"/>
      <c r="N46" s="60"/>
      <c r="O46" s="60"/>
      <c r="P46" s="60"/>
      <c r="Q46" s="60">
        <f>587.38+3558.99</f>
        <v>4146.37</v>
      </c>
      <c r="R46" s="60"/>
      <c r="S46" s="60"/>
      <c r="T46" s="60"/>
      <c r="U46" s="60">
        <v>3911</v>
      </c>
      <c r="V46" s="60"/>
      <c r="W46" s="60"/>
      <c r="X46" s="60">
        <v>402133.39</v>
      </c>
      <c r="Y46" s="60"/>
      <c r="Z46" s="60"/>
      <c r="AA46" s="60"/>
      <c r="AB46" s="60"/>
      <c r="AC46" s="60"/>
      <c r="AD46" s="60"/>
      <c r="AE46" s="60"/>
      <c r="AF46" s="60"/>
      <c r="AG46" s="60"/>
      <c r="AH46" s="60"/>
      <c r="AI46" s="49">
        <f t="shared" si="3"/>
        <v>1219466.76</v>
      </c>
      <c r="AJ46" s="50">
        <f t="shared" si="4"/>
        <v>72167.219999999972</v>
      </c>
      <c r="AK46" s="51">
        <f>'[2]12-13 for 14-15 Asmt (updated)'!AI46</f>
        <v>1147299.54</v>
      </c>
      <c r="AL46" s="48">
        <v>24282.16</v>
      </c>
      <c r="AM46" s="48">
        <f>3911+6538.97</f>
        <v>10449.970000000001</v>
      </c>
      <c r="AN46" s="60" t="s">
        <v>282</v>
      </c>
      <c r="AO46" s="48">
        <v>402133.39</v>
      </c>
      <c r="AP46" s="48"/>
      <c r="AQ46" s="48">
        <v>180458.72</v>
      </c>
      <c r="AR46" s="52">
        <f t="shared" si="5"/>
        <v>0.147981663723249</v>
      </c>
      <c r="AS46" s="51">
        <f>'[1]08-09 for 10-11 Asmt'!AQ46</f>
        <v>145070</v>
      </c>
      <c r="AT46" s="51">
        <f t="shared" si="6"/>
        <v>617324.24</v>
      </c>
      <c r="AU46" s="50">
        <f t="shared" si="0"/>
        <v>377036.53</v>
      </c>
      <c r="AV46" s="51">
        <f>'[1]08-09 for 10-11 Asmt'!AT46</f>
        <v>240287.71</v>
      </c>
      <c r="AW46" s="48">
        <f t="shared" si="1"/>
        <v>602142.52</v>
      </c>
      <c r="AX46" s="50">
        <f t="shared" si="2"/>
        <v>19861.480000000098</v>
      </c>
      <c r="AY46" s="51">
        <f>'[1]10-11 for 12-13 Asmt'!AW46</f>
        <v>582281.03999999992</v>
      </c>
      <c r="AZ46" s="61"/>
      <c r="BA46" s="61"/>
      <c r="BB46" s="64"/>
      <c r="BC46" s="63"/>
      <c r="BD46" s="64"/>
      <c r="BE46" s="64">
        <f t="shared" si="8"/>
        <v>0</v>
      </c>
      <c r="BF46" s="64">
        <v>78526</v>
      </c>
      <c r="BG46" s="64">
        <v>71576</v>
      </c>
      <c r="BH46" s="64">
        <v>59079.692078715889</v>
      </c>
      <c r="BI46" s="64">
        <v>60115</v>
      </c>
      <c r="BJ46" s="64">
        <v>51343</v>
      </c>
      <c r="BK46" s="64">
        <v>53508.584060745787</v>
      </c>
      <c r="BL46" s="63">
        <v>54282</v>
      </c>
      <c r="BM46" s="63">
        <v>43984</v>
      </c>
      <c r="BN46" s="63">
        <v>53250</v>
      </c>
      <c r="BO46" s="63">
        <v>47923</v>
      </c>
      <c r="BP46" s="63">
        <v>47244</v>
      </c>
      <c r="BQ46" s="63">
        <v>48706</v>
      </c>
      <c r="BR46" s="63">
        <v>45266.471740960398</v>
      </c>
      <c r="BS46" s="63">
        <v>34847.111319020158</v>
      </c>
      <c r="BT46" s="64"/>
      <c r="BU46" s="65" t="s">
        <v>197</v>
      </c>
    </row>
    <row r="47" spans="1:73" s="58" customFormat="1" ht="67.5">
      <c r="A47" s="45" t="s">
        <v>283</v>
      </c>
      <c r="B47" s="46" t="s">
        <v>284</v>
      </c>
      <c r="C47" s="47"/>
      <c r="D47" s="47"/>
      <c r="E47" s="48">
        <v>300</v>
      </c>
      <c r="F47" s="48"/>
      <c r="G47" s="48"/>
      <c r="H47" s="48"/>
      <c r="I47" s="48">
        <v>88794.93</v>
      </c>
      <c r="J47" s="48"/>
      <c r="K47" s="48">
        <v>4980.8500000000004</v>
      </c>
      <c r="L47" s="48"/>
      <c r="M47" s="48"/>
      <c r="N47" s="48"/>
      <c r="O47" s="48"/>
      <c r="P47" s="48"/>
      <c r="Q47" s="48">
        <v>1336.64</v>
      </c>
      <c r="R47" s="48"/>
      <c r="S47" s="48"/>
      <c r="T47" s="48">
        <v>1500</v>
      </c>
      <c r="U47" s="48">
        <v>1945.5</v>
      </c>
      <c r="V47" s="48">
        <v>250</v>
      </c>
      <c r="W47" s="48"/>
      <c r="X47" s="48"/>
      <c r="Y47" s="48">
        <f>6384.76+40256.07+1045</f>
        <v>47685.83</v>
      </c>
      <c r="Z47" s="48"/>
      <c r="AA47" s="48"/>
      <c r="AB47" s="48"/>
      <c r="AC47" s="48"/>
      <c r="AD47" s="48">
        <f>1735+1850.66+34</f>
        <v>3619.66</v>
      </c>
      <c r="AE47" s="48"/>
      <c r="AF47" s="48"/>
      <c r="AG47" s="48"/>
      <c r="AH47" s="48">
        <v>1411</v>
      </c>
      <c r="AI47" s="49">
        <f t="shared" si="3"/>
        <v>151824.41</v>
      </c>
      <c r="AJ47" s="50">
        <f t="shared" si="4"/>
        <v>-2949.7599999999802</v>
      </c>
      <c r="AK47" s="51">
        <f>'[2]12-13 for 14-15 Asmt (updated)'!AI47</f>
        <v>154774.16999999998</v>
      </c>
      <c r="AL47" s="48">
        <v>1073.77</v>
      </c>
      <c r="AM47" s="48">
        <f>100.79+4980.85+1945.5+1500+1411</f>
        <v>9938.14</v>
      </c>
      <c r="AN47" s="48" t="s">
        <v>285</v>
      </c>
      <c r="AO47" s="48"/>
      <c r="AP47" s="48"/>
      <c r="AQ47" s="48"/>
      <c r="AR47" s="52">
        <f t="shared" si="5"/>
        <v>0</v>
      </c>
      <c r="AS47" s="51" t="e">
        <f>'[1]08-09 for 10-11 Asmt'!AQ47</f>
        <v>#REF!</v>
      </c>
      <c r="AT47" s="51">
        <f t="shared" si="6"/>
        <v>11011.91</v>
      </c>
      <c r="AU47" s="50">
        <f t="shared" si="0"/>
        <v>-24542.3</v>
      </c>
      <c r="AV47" s="51">
        <f>'[1]08-09 for 10-11 Asmt'!AT47</f>
        <v>35554.21</v>
      </c>
      <c r="AW47" s="48">
        <f t="shared" si="1"/>
        <v>140812.5</v>
      </c>
      <c r="AX47" s="50">
        <f t="shared" si="2"/>
        <v>43438.049999999974</v>
      </c>
      <c r="AY47" s="51">
        <f>'[1]10-11 for 12-13 Asmt'!AW47</f>
        <v>97374.450000000026</v>
      </c>
      <c r="AZ47" s="54"/>
      <c r="BA47" s="54" t="s">
        <v>286</v>
      </c>
      <c r="BB47" s="57"/>
      <c r="BC47" s="56"/>
      <c r="BD47" s="57"/>
      <c r="BE47" s="57">
        <f t="shared" si="8"/>
        <v>0</v>
      </c>
      <c r="BF47" s="57">
        <v>15644.752769492214</v>
      </c>
      <c r="BG47" s="57">
        <v>20670</v>
      </c>
      <c r="BH47" s="57">
        <v>16806.645091622591</v>
      </c>
      <c r="BI47" s="57">
        <v>15869</v>
      </c>
      <c r="BJ47" s="57">
        <v>18140</v>
      </c>
      <c r="BK47" s="57">
        <v>17414.45363262168</v>
      </c>
      <c r="BL47" s="56">
        <v>13037</v>
      </c>
      <c r="BM47" s="56">
        <v>11482</v>
      </c>
      <c r="BN47" s="56">
        <v>11387</v>
      </c>
      <c r="BO47" s="56">
        <v>11834</v>
      </c>
      <c r="BP47" s="56">
        <v>11750</v>
      </c>
      <c r="BQ47" s="56">
        <v>10365</v>
      </c>
      <c r="BR47" s="56">
        <v>9857.6892177762329</v>
      </c>
      <c r="BS47" s="56">
        <v>7983.7264350378482</v>
      </c>
      <c r="BT47" s="57"/>
      <c r="BU47" s="46" t="s">
        <v>287</v>
      </c>
    </row>
    <row r="48" spans="1:73">
      <c r="A48" s="45" t="s">
        <v>288</v>
      </c>
      <c r="B48" s="46" t="s">
        <v>265</v>
      </c>
      <c r="C48" s="59"/>
      <c r="D48" s="59"/>
      <c r="E48" s="60"/>
      <c r="F48" s="60"/>
      <c r="G48" s="60"/>
      <c r="H48" s="60"/>
      <c r="I48" s="60">
        <v>538326.74</v>
      </c>
      <c r="J48" s="60">
        <v>1828.98</v>
      </c>
      <c r="K48" s="60"/>
      <c r="L48" s="60"/>
      <c r="M48" s="60"/>
      <c r="N48" s="60"/>
      <c r="O48" s="60"/>
      <c r="P48" s="60"/>
      <c r="Q48" s="60">
        <f>17.57+8077.8</f>
        <v>8095.37</v>
      </c>
      <c r="R48" s="60"/>
      <c r="S48" s="60"/>
      <c r="T48" s="60"/>
      <c r="U48" s="60"/>
      <c r="V48" s="60">
        <v>1800</v>
      </c>
      <c r="W48" s="60"/>
      <c r="X48" s="60"/>
      <c r="Y48" s="60"/>
      <c r="Z48" s="60"/>
      <c r="AA48" s="60"/>
      <c r="AB48" s="60"/>
      <c r="AC48" s="60"/>
      <c r="AD48" s="60">
        <v>5902.5</v>
      </c>
      <c r="AE48" s="60"/>
      <c r="AF48" s="60">
        <v>30000</v>
      </c>
      <c r="AG48" s="60"/>
      <c r="AH48" s="60"/>
      <c r="AI48" s="49">
        <f t="shared" si="3"/>
        <v>585953.59</v>
      </c>
      <c r="AJ48" s="50">
        <f t="shared" si="4"/>
        <v>36105.54999999993</v>
      </c>
      <c r="AK48" s="51">
        <f>'[2]12-13 for 14-15 Asmt (updated)'!AI48</f>
        <v>549848.04</v>
      </c>
      <c r="AL48" s="48">
        <f>2777.07+6053.68+1568.16+133.32</f>
        <v>10532.23</v>
      </c>
      <c r="AM48" s="48"/>
      <c r="AN48" s="60"/>
      <c r="AO48" s="48"/>
      <c r="AP48" s="48"/>
      <c r="AQ48" s="48">
        <v>7725</v>
      </c>
      <c r="AR48" s="52">
        <f t="shared" si="5"/>
        <v>1.3183637973785604E-2</v>
      </c>
      <c r="AS48" s="51">
        <f>'[1]08-09 for 10-11 Asmt'!AQ48</f>
        <v>33000</v>
      </c>
      <c r="AT48" s="51">
        <f t="shared" si="6"/>
        <v>18257.23</v>
      </c>
      <c r="AU48" s="50">
        <f t="shared" si="0"/>
        <v>-25139.320000000003</v>
      </c>
      <c r="AV48" s="51">
        <f>'[1]08-09 for 10-11 Asmt'!AT48</f>
        <v>43396.55</v>
      </c>
      <c r="AW48" s="48">
        <f t="shared" si="1"/>
        <v>567696.36</v>
      </c>
      <c r="AX48" s="50">
        <f t="shared" si="2"/>
        <v>34605.239999999991</v>
      </c>
      <c r="AY48" s="51">
        <f>'[1]10-11 for 12-13 Asmt'!AW48</f>
        <v>533091.12</v>
      </c>
      <c r="AZ48" s="61"/>
      <c r="BA48" s="61" t="s">
        <v>289</v>
      </c>
      <c r="BB48" s="64"/>
      <c r="BC48" s="63"/>
      <c r="BD48" s="64"/>
      <c r="BE48" s="64">
        <f t="shared" si="8"/>
        <v>0</v>
      </c>
      <c r="BF48" s="64">
        <v>65877.520495027813</v>
      </c>
      <c r="BG48" s="64">
        <v>63477</v>
      </c>
      <c r="BH48" s="64">
        <v>63610.61724712867</v>
      </c>
      <c r="BI48" s="64">
        <v>60824</v>
      </c>
      <c r="BJ48" s="64">
        <v>58203</v>
      </c>
      <c r="BK48" s="64">
        <v>51183.242166868033</v>
      </c>
      <c r="BL48" s="63">
        <v>54778</v>
      </c>
      <c r="BM48" s="63">
        <v>60381</v>
      </c>
      <c r="BN48" s="63">
        <v>38286</v>
      </c>
      <c r="BO48" s="63">
        <v>49498</v>
      </c>
      <c r="BP48" s="63">
        <v>43648</v>
      </c>
      <c r="BQ48" s="63">
        <v>32730</v>
      </c>
      <c r="BR48" s="63">
        <v>37797.506977975972</v>
      </c>
      <c r="BS48" s="63">
        <v>36830.148070379655</v>
      </c>
      <c r="BT48" s="64"/>
      <c r="BU48" s="65" t="s">
        <v>265</v>
      </c>
    </row>
    <row r="49" spans="1:73">
      <c r="A49" s="45" t="s">
        <v>290</v>
      </c>
      <c r="B49" s="46" t="s">
        <v>136</v>
      </c>
      <c r="C49" s="59"/>
      <c r="D49" s="59"/>
      <c r="E49" s="60">
        <v>12500</v>
      </c>
      <c r="F49" s="60"/>
      <c r="G49" s="60"/>
      <c r="H49" s="60"/>
      <c r="I49" s="60">
        <v>898506.58</v>
      </c>
      <c r="J49" s="60"/>
      <c r="K49" s="60">
        <v>26453.27</v>
      </c>
      <c r="L49" s="60"/>
      <c r="M49" s="60"/>
      <c r="N49" s="60">
        <v>25000</v>
      </c>
      <c r="O49" s="60"/>
      <c r="P49" s="60"/>
      <c r="Q49" s="60">
        <v>3831.53</v>
      </c>
      <c r="R49" s="60"/>
      <c r="S49" s="60"/>
      <c r="T49" s="60"/>
      <c r="U49" s="60"/>
      <c r="V49" s="60">
        <v>7445</v>
      </c>
      <c r="W49" s="60">
        <v>7651.68</v>
      </c>
      <c r="X49" s="60"/>
      <c r="Y49" s="60"/>
      <c r="Z49" s="60">
        <v>22098.11</v>
      </c>
      <c r="AA49" s="60"/>
      <c r="AB49" s="60"/>
      <c r="AC49" s="60"/>
      <c r="AD49" s="60">
        <v>2652</v>
      </c>
      <c r="AE49" s="60"/>
      <c r="AF49" s="60"/>
      <c r="AG49" s="60"/>
      <c r="AH49" s="60"/>
      <c r="AI49" s="49">
        <f t="shared" si="3"/>
        <v>1006138.17</v>
      </c>
      <c r="AJ49" s="50">
        <f t="shared" si="4"/>
        <v>53417.630000000005</v>
      </c>
      <c r="AK49" s="51">
        <f>'[2]12-13 for 14-15 Asmt (updated)'!AI49</f>
        <v>952720.54</v>
      </c>
      <c r="AL49" s="48">
        <v>13201.43</v>
      </c>
      <c r="AM49" s="48">
        <v>25000</v>
      </c>
      <c r="AN49" s="60" t="s">
        <v>291</v>
      </c>
      <c r="AO49" s="48"/>
      <c r="AP49" s="48"/>
      <c r="AQ49" s="48">
        <v>280074.51</v>
      </c>
      <c r="AR49" s="52">
        <f t="shared" si="5"/>
        <v>0.27836585307165118</v>
      </c>
      <c r="AS49" s="51">
        <f>'[1]08-09 for 10-11 Asmt'!AQ49</f>
        <v>161787.75</v>
      </c>
      <c r="AT49" s="51">
        <f t="shared" si="6"/>
        <v>318275.94</v>
      </c>
      <c r="AU49" s="50">
        <f t="shared" si="0"/>
        <v>-19843.320000000007</v>
      </c>
      <c r="AV49" s="51">
        <f>'[1]08-09 for 10-11 Asmt'!AT49</f>
        <v>338119.26</v>
      </c>
      <c r="AW49" s="48">
        <f t="shared" si="1"/>
        <v>687862.23</v>
      </c>
      <c r="AX49" s="50">
        <f t="shared" si="2"/>
        <v>150146.17000000016</v>
      </c>
      <c r="AY49" s="51">
        <f>'[1]10-11 for 12-13 Asmt'!AW49</f>
        <v>537716.05999999982</v>
      </c>
      <c r="AZ49" s="61"/>
      <c r="BA49" s="61"/>
      <c r="BB49" s="64"/>
      <c r="BC49" s="63"/>
      <c r="BD49" s="64"/>
      <c r="BE49" s="64">
        <f t="shared" si="8"/>
        <v>0</v>
      </c>
      <c r="BF49" s="64">
        <v>81254.946866899249</v>
      </c>
      <c r="BG49" s="64">
        <v>78636</v>
      </c>
      <c r="BH49" s="64">
        <v>70347.963423915717</v>
      </c>
      <c r="BI49" s="64">
        <v>62096</v>
      </c>
      <c r="BJ49" s="64">
        <v>61299</v>
      </c>
      <c r="BK49" s="64">
        <v>54746.57439803701</v>
      </c>
      <c r="BL49" s="63">
        <v>42120</v>
      </c>
      <c r="BM49" s="63">
        <v>40266</v>
      </c>
      <c r="BN49" s="63">
        <v>37596</v>
      </c>
      <c r="BO49" s="63">
        <v>34350</v>
      </c>
      <c r="BP49" s="63">
        <v>34838</v>
      </c>
      <c r="BQ49" s="63">
        <v>29091</v>
      </c>
      <c r="BR49" s="63">
        <v>27430.394565780032</v>
      </c>
      <c r="BS49" s="63">
        <v>31340.658378691718</v>
      </c>
      <c r="BT49" s="64"/>
      <c r="BU49" s="65" t="s">
        <v>136</v>
      </c>
    </row>
    <row r="50" spans="1:73" s="58" customFormat="1" ht="33.75">
      <c r="A50" s="45" t="s">
        <v>292</v>
      </c>
      <c r="B50" s="46" t="s">
        <v>293</v>
      </c>
      <c r="C50" s="47">
        <v>3000</v>
      </c>
      <c r="D50" s="47"/>
      <c r="E50" s="48"/>
      <c r="F50" s="48"/>
      <c r="G50" s="48"/>
      <c r="H50" s="48"/>
      <c r="I50" s="48">
        <v>51396.51</v>
      </c>
      <c r="J50" s="48"/>
      <c r="K50" s="48">
        <v>2009.42</v>
      </c>
      <c r="L50" s="48"/>
      <c r="M50" s="48"/>
      <c r="N50" s="48"/>
      <c r="O50" s="48"/>
      <c r="P50" s="48"/>
      <c r="Q50" s="48"/>
      <c r="R50" s="48"/>
      <c r="S50" s="48"/>
      <c r="T50" s="48"/>
      <c r="U50" s="48">
        <v>1041</v>
      </c>
      <c r="V50" s="48"/>
      <c r="W50" s="48"/>
      <c r="X50" s="48"/>
      <c r="Y50" s="48"/>
      <c r="Z50" s="48">
        <v>10568</v>
      </c>
      <c r="AA50" s="48"/>
      <c r="AB50" s="48"/>
      <c r="AC50" s="48"/>
      <c r="AD50" s="48">
        <v>362</v>
      </c>
      <c r="AE50" s="48"/>
      <c r="AF50" s="48"/>
      <c r="AG50" s="48"/>
      <c r="AH50" s="48">
        <f>782+1800.32</f>
        <v>2582.3199999999997</v>
      </c>
      <c r="AI50" s="49">
        <f t="shared" si="3"/>
        <v>70959.25</v>
      </c>
      <c r="AJ50" s="50">
        <f t="shared" si="4"/>
        <v>8633</v>
      </c>
      <c r="AK50" s="51">
        <f>'[2]12-13 for 14-15 Asmt (updated)'!AI50</f>
        <v>62326.25</v>
      </c>
      <c r="AL50" s="48">
        <v>667.53</v>
      </c>
      <c r="AM50" s="48">
        <f>2009.42+3000+1041</f>
        <v>6050.42</v>
      </c>
      <c r="AN50" s="48" t="s">
        <v>294</v>
      </c>
      <c r="AO50" s="48"/>
      <c r="AP50" s="48"/>
      <c r="AQ50" s="48"/>
      <c r="AR50" s="52">
        <f t="shared" si="5"/>
        <v>0</v>
      </c>
      <c r="AS50" s="51" t="e">
        <f>'[1]08-09 for 10-11 Asmt'!AQ50</f>
        <v>#REF!</v>
      </c>
      <c r="AT50" s="51">
        <f t="shared" si="6"/>
        <v>6717.95</v>
      </c>
      <c r="AU50" s="50">
        <f t="shared" si="0"/>
        <v>-24278.66</v>
      </c>
      <c r="AV50" s="51">
        <f>'[1]08-09 for 10-11 Asmt'!AT50</f>
        <v>30996.61</v>
      </c>
      <c r="AW50" s="48">
        <f t="shared" si="1"/>
        <v>64241.3</v>
      </c>
      <c r="AX50" s="50">
        <f t="shared" si="2"/>
        <v>13848.89</v>
      </c>
      <c r="AY50" s="51">
        <f>'[1]10-11 for 12-13 Asmt'!AW50</f>
        <v>50392.41</v>
      </c>
      <c r="AZ50" s="54" t="s">
        <v>295</v>
      </c>
      <c r="BA50" s="54" t="s">
        <v>296</v>
      </c>
      <c r="BB50" s="57"/>
      <c r="BC50" s="57"/>
      <c r="BD50" s="57"/>
      <c r="BE50" s="57">
        <f t="shared" si="8"/>
        <v>0</v>
      </c>
      <c r="BF50" s="57">
        <v>2005.6540000000002</v>
      </c>
      <c r="BG50" s="57">
        <v>1912</v>
      </c>
      <c r="BH50" s="57">
        <v>6000</v>
      </c>
      <c r="BI50" s="57">
        <v>3000</v>
      </c>
      <c r="BJ50" s="57">
        <v>1500</v>
      </c>
      <c r="BK50" s="57">
        <v>750</v>
      </c>
      <c r="BL50" s="56">
        <v>1000</v>
      </c>
      <c r="BM50" s="56">
        <v>1000</v>
      </c>
      <c r="BN50" s="56">
        <v>1000</v>
      </c>
      <c r="BO50" s="56">
        <v>1100</v>
      </c>
      <c r="BP50" s="56">
        <v>1070</v>
      </c>
      <c r="BQ50" s="56">
        <v>1062</v>
      </c>
      <c r="BR50" s="56">
        <v>1829.766097643073</v>
      </c>
      <c r="BS50" s="56">
        <v>1000</v>
      </c>
      <c r="BT50" s="57"/>
      <c r="BU50" s="46" t="s">
        <v>293</v>
      </c>
    </row>
    <row r="51" spans="1:73" s="58" customFormat="1">
      <c r="A51" s="45" t="s">
        <v>297</v>
      </c>
      <c r="B51" s="46" t="s">
        <v>197</v>
      </c>
      <c r="C51" s="47"/>
      <c r="D51" s="47"/>
      <c r="E51" s="48">
        <f>100000+590</f>
        <v>100590</v>
      </c>
      <c r="F51" s="48"/>
      <c r="G51" s="48"/>
      <c r="H51" s="48"/>
      <c r="I51" s="48">
        <v>492924.98</v>
      </c>
      <c r="J51" s="48">
        <v>181</v>
      </c>
      <c r="K51" s="48"/>
      <c r="L51" s="48"/>
      <c r="M51" s="48"/>
      <c r="N51" s="48"/>
      <c r="O51" s="48"/>
      <c r="P51" s="48"/>
      <c r="Q51" s="48">
        <v>3625.57</v>
      </c>
      <c r="R51" s="48"/>
      <c r="S51" s="48"/>
      <c r="T51" s="48">
        <v>1200</v>
      </c>
      <c r="U51" s="48"/>
      <c r="V51" s="48">
        <v>500</v>
      </c>
      <c r="W51" s="48"/>
      <c r="X51" s="48"/>
      <c r="Y51" s="48"/>
      <c r="Z51" s="48"/>
      <c r="AA51" s="48"/>
      <c r="AB51" s="48"/>
      <c r="AC51" s="48"/>
      <c r="AD51" s="48">
        <f>795.01+206.28</f>
        <v>1001.29</v>
      </c>
      <c r="AE51" s="48"/>
      <c r="AF51" s="48">
        <f>51382.03+37647.06</f>
        <v>89029.09</v>
      </c>
      <c r="AG51" s="48"/>
      <c r="AH51" s="48"/>
      <c r="AI51" s="49">
        <f t="shared" si="3"/>
        <v>689051.92999999993</v>
      </c>
      <c r="AJ51" s="50">
        <f t="shared" si="4"/>
        <v>63005.1599999998</v>
      </c>
      <c r="AK51" s="51">
        <f>'[2]12-13 for 14-15 Asmt (updated)'!AI51</f>
        <v>626046.77000000014</v>
      </c>
      <c r="AL51" s="48">
        <v>27165.94</v>
      </c>
      <c r="AM51" s="48">
        <f>38159.03+17304.54+1200</f>
        <v>56663.57</v>
      </c>
      <c r="AN51" s="48" t="s">
        <v>298</v>
      </c>
      <c r="AO51" s="48"/>
      <c r="AP51" s="48"/>
      <c r="AQ51" s="48">
        <v>118935</v>
      </c>
      <c r="AR51" s="52">
        <f t="shared" si="5"/>
        <v>0.17260672936508575</v>
      </c>
      <c r="AS51" s="51">
        <f>'[1]08-09 for 10-11 Asmt'!AQ51</f>
        <v>166800</v>
      </c>
      <c r="AT51" s="51">
        <f t="shared" si="6"/>
        <v>202764.51</v>
      </c>
      <c r="AU51" s="50">
        <f t="shared" si="0"/>
        <v>-52997.099999999977</v>
      </c>
      <c r="AV51" s="51">
        <f>'[1]08-09 for 10-11 Asmt'!AT51</f>
        <v>255761.61</v>
      </c>
      <c r="AW51" s="48">
        <f t="shared" si="1"/>
        <v>486287.41999999993</v>
      </c>
      <c r="AX51" s="50">
        <f t="shared" si="2"/>
        <v>96679.249999999884</v>
      </c>
      <c r="AY51" s="51">
        <f>'[1]10-11 for 12-13 Asmt'!AW51</f>
        <v>389608.17000000004</v>
      </c>
      <c r="AZ51" s="48"/>
      <c r="BA51" s="54" t="s">
        <v>299</v>
      </c>
      <c r="BB51" s="57"/>
      <c r="BC51" s="56"/>
      <c r="BD51" s="57"/>
      <c r="BE51" s="57">
        <f t="shared" si="8"/>
        <v>0</v>
      </c>
      <c r="BF51" s="57">
        <v>33821.953895867817</v>
      </c>
      <c r="BG51" s="57">
        <v>49069</v>
      </c>
      <c r="BH51" s="57">
        <v>41199.408500133075</v>
      </c>
      <c r="BI51" s="57">
        <v>37911</v>
      </c>
      <c r="BJ51" s="57">
        <v>40844</v>
      </c>
      <c r="BK51" s="57">
        <v>39857.74744169099</v>
      </c>
      <c r="BL51" s="56">
        <v>29208</v>
      </c>
      <c r="BM51" s="56">
        <v>20118</v>
      </c>
      <c r="BN51" s="56">
        <v>25522</v>
      </c>
      <c r="BO51" s="56">
        <v>21141</v>
      </c>
      <c r="BP51" s="56">
        <v>18574</v>
      </c>
      <c r="BQ51" s="56">
        <v>19025</v>
      </c>
      <c r="BR51" s="56">
        <v>10314.681283322559</v>
      </c>
      <c r="BS51" s="56">
        <v>7483.1121048760442</v>
      </c>
      <c r="BT51" s="57"/>
      <c r="BU51" s="46" t="s">
        <v>197</v>
      </c>
    </row>
    <row r="52" spans="1:73" s="58" customFormat="1" ht="33.75">
      <c r="A52" s="45" t="s">
        <v>297</v>
      </c>
      <c r="B52" s="46" t="s">
        <v>300</v>
      </c>
      <c r="C52" s="47"/>
      <c r="D52" s="47">
        <v>4439.99</v>
      </c>
      <c r="E52" s="48">
        <f>10748.03+500-4439.99</f>
        <v>6808.0400000000009</v>
      </c>
      <c r="F52" s="48"/>
      <c r="G52" s="48"/>
      <c r="H52" s="48"/>
      <c r="I52" s="48">
        <v>33219.120000000003</v>
      </c>
      <c r="J52" s="48"/>
      <c r="K52" s="48">
        <v>2945.65</v>
      </c>
      <c r="L52" s="48"/>
      <c r="M52" s="48"/>
      <c r="N52" s="48"/>
      <c r="O52" s="48"/>
      <c r="P52" s="48"/>
      <c r="Q52" s="48">
        <v>10.41</v>
      </c>
      <c r="R52" s="48"/>
      <c r="S52" s="48"/>
      <c r="T52" s="48"/>
      <c r="U52" s="48"/>
      <c r="V52" s="48">
        <f>925+3706</f>
        <v>4631</v>
      </c>
      <c r="W52" s="48"/>
      <c r="X52" s="48"/>
      <c r="Y52" s="48"/>
      <c r="Z52" s="48">
        <v>150</v>
      </c>
      <c r="AA52" s="48"/>
      <c r="AB52" s="48"/>
      <c r="AC52" s="48"/>
      <c r="AD52" s="48">
        <v>754</v>
      </c>
      <c r="AE52" s="48"/>
      <c r="AF52" s="48"/>
      <c r="AG52" s="48"/>
      <c r="AH52" s="48"/>
      <c r="AI52" s="49">
        <f t="shared" si="3"/>
        <v>52958.210000000006</v>
      </c>
      <c r="AJ52" s="50">
        <f t="shared" si="4"/>
        <v>-71209.249999999985</v>
      </c>
      <c r="AK52" s="51">
        <f>'[2]12-13 for 14-15 Asmt (updated)'!AI52</f>
        <v>124167.45999999999</v>
      </c>
      <c r="AL52" s="48"/>
      <c r="AM52" s="48">
        <f>2945.65+4439.99</f>
        <v>7385.6399999999994</v>
      </c>
      <c r="AN52" s="48" t="s">
        <v>301</v>
      </c>
      <c r="AO52" s="48"/>
      <c r="AP52" s="48"/>
      <c r="AQ52" s="48"/>
      <c r="AR52" s="52">
        <f t="shared" si="5"/>
        <v>0</v>
      </c>
      <c r="AS52" s="51" t="e">
        <f>'[1]08-09 for 10-11 Asmt'!AQ52</f>
        <v>#REF!</v>
      </c>
      <c r="AT52" s="51">
        <f t="shared" si="6"/>
        <v>7385.6399999999994</v>
      </c>
      <c r="AU52" s="50">
        <f t="shared" si="0"/>
        <v>-1000.9700000000012</v>
      </c>
      <c r="AV52" s="51">
        <f>'[1]08-09 for 10-11 Asmt'!AT52</f>
        <v>8386.61</v>
      </c>
      <c r="AW52" s="48">
        <f t="shared" si="1"/>
        <v>45572.570000000007</v>
      </c>
      <c r="AX52" s="50">
        <f t="shared" si="2"/>
        <v>25011.220000000008</v>
      </c>
      <c r="AY52" s="51">
        <f>'[1]10-11 for 12-13 Asmt'!AW52</f>
        <v>20561.349999999999</v>
      </c>
      <c r="AZ52" s="54" t="s">
        <v>232</v>
      </c>
      <c r="BA52" s="54" t="s">
        <v>302</v>
      </c>
      <c r="BB52" s="57"/>
      <c r="BC52" s="56"/>
      <c r="BD52" s="57"/>
      <c r="BE52" s="57">
        <v>1541</v>
      </c>
      <c r="BF52" s="57">
        <v>1450.4970000000003</v>
      </c>
      <c r="BG52" s="57">
        <v>1322</v>
      </c>
      <c r="BH52" s="57">
        <v>750</v>
      </c>
      <c r="BI52" s="57">
        <v>1000</v>
      </c>
      <c r="BJ52" s="57">
        <v>1500</v>
      </c>
      <c r="BK52" s="57">
        <v>3000</v>
      </c>
      <c r="BL52" s="56">
        <v>1500</v>
      </c>
      <c r="BM52" s="56">
        <v>1000</v>
      </c>
      <c r="BN52" s="56">
        <v>1000</v>
      </c>
      <c r="BO52" s="56">
        <v>1100</v>
      </c>
      <c r="BP52" s="56">
        <v>1096</v>
      </c>
      <c r="BQ52" s="56">
        <v>1076</v>
      </c>
      <c r="BR52" s="56">
        <v>2159.8201584263174</v>
      </c>
      <c r="BS52" s="56">
        <v>1000</v>
      </c>
      <c r="BT52" s="57"/>
      <c r="BU52" s="46" t="s">
        <v>300</v>
      </c>
    </row>
    <row r="53" spans="1:73">
      <c r="A53" s="45" t="s">
        <v>303</v>
      </c>
      <c r="B53" s="46" t="s">
        <v>166</v>
      </c>
      <c r="C53" s="59"/>
      <c r="D53" s="59"/>
      <c r="E53" s="60"/>
      <c r="F53" s="60"/>
      <c r="G53" s="60"/>
      <c r="H53" s="60"/>
      <c r="I53" s="60">
        <v>504094.93</v>
      </c>
      <c r="J53" s="60"/>
      <c r="K53" s="60"/>
      <c r="L53" s="60"/>
      <c r="M53" s="60"/>
      <c r="N53" s="60"/>
      <c r="O53" s="60"/>
      <c r="P53" s="60"/>
      <c r="Q53" s="60">
        <v>292.8</v>
      </c>
      <c r="R53" s="60">
        <f>0+1394.42</f>
        <v>1394.42</v>
      </c>
      <c r="S53" s="60">
        <f>887+6126+305</f>
        <v>7318</v>
      </c>
      <c r="T53" s="60"/>
      <c r="U53" s="60"/>
      <c r="V53" s="60">
        <f>450+4510</f>
        <v>4960</v>
      </c>
      <c r="W53" s="60">
        <f>1000+75+1457.07</f>
        <v>2532.0699999999997</v>
      </c>
      <c r="X53" s="60"/>
      <c r="Y53" s="60"/>
      <c r="Z53" s="60"/>
      <c r="AA53" s="60"/>
      <c r="AB53" s="60">
        <f>5800+9256.9</f>
        <v>15056.9</v>
      </c>
      <c r="AC53" s="60"/>
      <c r="AD53" s="60">
        <f>393.93+1175+2920.16+3543</f>
        <v>8032.09</v>
      </c>
      <c r="AE53" s="60"/>
      <c r="AF53" s="60"/>
      <c r="AG53" s="60"/>
      <c r="AH53" s="60">
        <v>2355.56</v>
      </c>
      <c r="AI53" s="49">
        <f t="shared" si="3"/>
        <v>546036.77</v>
      </c>
      <c r="AJ53" s="50">
        <f t="shared" si="4"/>
        <v>-16833.219999999739</v>
      </c>
      <c r="AK53" s="51">
        <f>'[2]12-13 for 14-15 Asmt (updated)'!AI53</f>
        <v>562869.98999999976</v>
      </c>
      <c r="AL53" s="48">
        <v>13760.93</v>
      </c>
      <c r="AM53" s="48">
        <v>7017.38</v>
      </c>
      <c r="AN53" s="60" t="s">
        <v>304</v>
      </c>
      <c r="AO53" s="48"/>
      <c r="AP53" s="48"/>
      <c r="AQ53" s="48">
        <v>124369.41</v>
      </c>
      <c r="AR53" s="52">
        <f t="shared" si="5"/>
        <v>0.22776746335233064</v>
      </c>
      <c r="AS53" s="51">
        <f>'[1]08-09 for 10-11 Asmt'!AQ53</f>
        <v>124400.04000000001</v>
      </c>
      <c r="AT53" s="51">
        <f t="shared" si="6"/>
        <v>145147.72</v>
      </c>
      <c r="AU53" s="50">
        <f t="shared" si="0"/>
        <v>-400081.88</v>
      </c>
      <c r="AV53" s="51">
        <f>'[1]08-09 for 10-11 Asmt'!AT53</f>
        <v>545229.6</v>
      </c>
      <c r="AW53" s="48">
        <f t="shared" si="1"/>
        <v>400889.05000000005</v>
      </c>
      <c r="AX53" s="50">
        <f t="shared" si="2"/>
        <v>-14530.940000000177</v>
      </c>
      <c r="AY53" s="51">
        <f>'[1]10-11 for 12-13 Asmt'!AW53</f>
        <v>415419.99000000022</v>
      </c>
      <c r="AZ53" s="61"/>
      <c r="BA53" s="61" t="s">
        <v>305</v>
      </c>
      <c r="BB53" s="64"/>
      <c r="BC53" s="63"/>
      <c r="BD53" s="64"/>
      <c r="BE53" s="64">
        <f>SUM(BC53:BD53)</f>
        <v>0</v>
      </c>
      <c r="BF53" s="64">
        <v>47721.854645252723</v>
      </c>
      <c r="BG53" s="64">
        <v>52978</v>
      </c>
      <c r="BH53" s="64">
        <v>46202.628570429923</v>
      </c>
      <c r="BI53" s="64">
        <v>37508</v>
      </c>
      <c r="BJ53" s="64">
        <v>38137</v>
      </c>
      <c r="BK53" s="64">
        <v>36080.421517005881</v>
      </c>
      <c r="BL53" s="63">
        <v>31004</v>
      </c>
      <c r="BM53" s="63">
        <v>33298</v>
      </c>
      <c r="BN53" s="63">
        <v>31292</v>
      </c>
      <c r="BO53" s="63">
        <v>25627</v>
      </c>
      <c r="BP53" s="63">
        <v>18454</v>
      </c>
      <c r="BQ53" s="63">
        <v>13473</v>
      </c>
      <c r="BR53" s="63">
        <v>22883.430129417742</v>
      </c>
      <c r="BS53" s="63">
        <v>15419.40970394601</v>
      </c>
      <c r="BT53" s="64"/>
      <c r="BU53" s="65" t="s">
        <v>306</v>
      </c>
    </row>
    <row r="54" spans="1:73" ht="22.5">
      <c r="A54" s="45" t="s">
        <v>303</v>
      </c>
      <c r="B54" s="46" t="s">
        <v>307</v>
      </c>
      <c r="C54" s="59"/>
      <c r="D54" s="59"/>
      <c r="E54" s="60">
        <v>8521.18</v>
      </c>
      <c r="F54" s="60"/>
      <c r="G54" s="60"/>
      <c r="H54" s="60"/>
      <c r="I54" s="60">
        <v>118687.54</v>
      </c>
      <c r="J54" s="60"/>
      <c r="K54" s="60"/>
      <c r="L54" s="60"/>
      <c r="M54" s="60"/>
      <c r="N54" s="60"/>
      <c r="O54" s="60"/>
      <c r="P54" s="60"/>
      <c r="Q54" s="60">
        <v>1651.25</v>
      </c>
      <c r="R54" s="60"/>
      <c r="S54" s="60"/>
      <c r="T54" s="60"/>
      <c r="U54" s="60">
        <v>980</v>
      </c>
      <c r="V54" s="60">
        <v>1870</v>
      </c>
      <c r="W54" s="60"/>
      <c r="X54" s="60"/>
      <c r="Y54" s="60"/>
      <c r="Z54" s="60"/>
      <c r="AA54" s="60"/>
      <c r="AB54" s="60"/>
      <c r="AC54" s="60"/>
      <c r="AD54" s="60">
        <v>1235</v>
      </c>
      <c r="AE54" s="60"/>
      <c r="AF54" s="60"/>
      <c r="AG54" s="60"/>
      <c r="AH54" s="60"/>
      <c r="AI54" s="49">
        <f t="shared" si="3"/>
        <v>132944.97</v>
      </c>
      <c r="AJ54" s="50">
        <f t="shared" si="4"/>
        <v>6875.7600000000093</v>
      </c>
      <c r="AK54" s="51">
        <f>'[2]12-13 for 14-15 Asmt (updated)'!AI54</f>
        <v>126069.20999999999</v>
      </c>
      <c r="AL54" s="48">
        <f>4500+1951.22+3942.3</f>
        <v>10393.52</v>
      </c>
      <c r="AM54" s="48">
        <v>980</v>
      </c>
      <c r="AN54" s="60" t="s">
        <v>308</v>
      </c>
      <c r="AO54" s="48"/>
      <c r="AP54" s="48"/>
      <c r="AQ54" s="48"/>
      <c r="AR54" s="52">
        <f t="shared" si="5"/>
        <v>0</v>
      </c>
      <c r="AS54" s="51" t="e">
        <f>'[1]08-09 for 10-11 Asmt'!AQ54</f>
        <v>#REF!</v>
      </c>
      <c r="AT54" s="51">
        <f t="shared" si="6"/>
        <v>11373.52</v>
      </c>
      <c r="AU54" s="50">
        <v>-21.970000000001164</v>
      </c>
      <c r="AV54" s="51">
        <v>18570.940000000002</v>
      </c>
      <c r="AW54" s="48">
        <f t="shared" si="1"/>
        <v>121571.45</v>
      </c>
      <c r="AX54" s="50">
        <v>-8237.2699999999895</v>
      </c>
      <c r="AY54" s="51">
        <f>'[1]10-11 for 12-13 Asmt'!AW54</f>
        <v>106914.81</v>
      </c>
      <c r="AZ54" s="61"/>
      <c r="BA54" s="61" t="s">
        <v>309</v>
      </c>
      <c r="BB54" s="64"/>
      <c r="BC54" s="63"/>
      <c r="BD54" s="64"/>
      <c r="BE54" s="64">
        <f>SUM(BC54:BD54)</f>
        <v>0</v>
      </c>
      <c r="BF54" s="64">
        <v>14693.089205515866</v>
      </c>
      <c r="BG54" s="64">
        <v>16838</v>
      </c>
      <c r="BH54" s="64">
        <v>16298.78639231512</v>
      </c>
      <c r="BI54" s="64">
        <v>16787</v>
      </c>
      <c r="BJ54" s="64">
        <v>12952</v>
      </c>
      <c r="BK54" s="64">
        <v>20526.422313015501</v>
      </c>
      <c r="BL54" s="63">
        <v>15672</v>
      </c>
      <c r="BM54" s="63">
        <v>13445</v>
      </c>
      <c r="BN54" s="63">
        <v>14242</v>
      </c>
      <c r="BO54" s="63">
        <v>13780</v>
      </c>
      <c r="BP54" s="63">
        <v>11970</v>
      </c>
      <c r="BQ54" s="63">
        <v>12358</v>
      </c>
      <c r="BR54" s="63">
        <v>10329.84483259051</v>
      </c>
      <c r="BS54" s="63">
        <v>9245.9176481872037</v>
      </c>
      <c r="BT54" s="64"/>
      <c r="BU54" s="65" t="s">
        <v>307</v>
      </c>
    </row>
    <row r="55" spans="1:73">
      <c r="A55" s="45" t="s">
        <v>303</v>
      </c>
      <c r="B55" s="46" t="s">
        <v>310</v>
      </c>
      <c r="C55" s="59"/>
      <c r="D55" s="59"/>
      <c r="E55" s="60">
        <v>14068.87</v>
      </c>
      <c r="F55" s="60"/>
      <c r="G55" s="60"/>
      <c r="H55" s="60"/>
      <c r="I55" s="60">
        <v>206870.42</v>
      </c>
      <c r="J55" s="60"/>
      <c r="K55" s="60"/>
      <c r="L55" s="60"/>
      <c r="M55" s="60"/>
      <c r="N55" s="60"/>
      <c r="O55" s="60"/>
      <c r="P55" s="60"/>
      <c r="Q55" s="60">
        <v>1236.24</v>
      </c>
      <c r="R55" s="60"/>
      <c r="S55" s="60"/>
      <c r="T55" s="60">
        <f>30041.32</f>
        <v>30041.32</v>
      </c>
      <c r="U55" s="60">
        <v>2006</v>
      </c>
      <c r="V55" s="60">
        <f>700+5000+8839.99</f>
        <v>14539.99</v>
      </c>
      <c r="W55" s="60">
        <v>3309.34</v>
      </c>
      <c r="X55" s="60"/>
      <c r="Y55" s="60">
        <v>8030.85</v>
      </c>
      <c r="Z55" s="60"/>
      <c r="AA55" s="60"/>
      <c r="AB55" s="60">
        <v>11524.66</v>
      </c>
      <c r="AC55" s="60"/>
      <c r="AD55" s="60"/>
      <c r="AE55" s="60"/>
      <c r="AF55" s="60">
        <v>2600</v>
      </c>
      <c r="AG55" s="60"/>
      <c r="AH55" s="60"/>
      <c r="AI55" s="49">
        <f>SUM(C55:AH55)-(H55)</f>
        <v>294227.69</v>
      </c>
      <c r="AJ55" s="50">
        <f t="shared" si="4"/>
        <v>54517.219999999972</v>
      </c>
      <c r="AK55" s="51">
        <f>'[2]12-13 for 14-15 Asmt (updated)'!AI55</f>
        <v>239710.47000000003</v>
      </c>
      <c r="AL55" s="48">
        <v>11332.05</v>
      </c>
      <c r="AM55" s="48">
        <f>3151+2006+30041.32</f>
        <v>35198.32</v>
      </c>
      <c r="AN55" s="60" t="s">
        <v>311</v>
      </c>
      <c r="AO55" s="48"/>
      <c r="AP55" s="48"/>
      <c r="AQ55" s="48">
        <v>14560</v>
      </c>
      <c r="AR55" s="52">
        <f t="shared" si="5"/>
        <v>4.9485485203652993E-2</v>
      </c>
      <c r="AS55" s="51">
        <f>'[1]08-09 for 10-11 Asmt'!AQ55</f>
        <v>6240</v>
      </c>
      <c r="AT55" s="51">
        <f t="shared" si="6"/>
        <v>61090.369999999995</v>
      </c>
      <c r="AU55" s="50">
        <v>51698.05</v>
      </c>
      <c r="AV55" s="51">
        <v>19335.25</v>
      </c>
      <c r="AW55" s="48">
        <f t="shared" si="1"/>
        <v>233137.32</v>
      </c>
      <c r="AX55" s="50">
        <v>8415.7900000000081</v>
      </c>
      <c r="AY55" s="51">
        <f>'[1]10-11 for 12-13 Asmt'!AW55</f>
        <v>228166.52</v>
      </c>
      <c r="AZ55" s="61"/>
      <c r="BA55" s="61"/>
      <c r="BB55" s="64"/>
      <c r="BC55" s="63"/>
      <c r="BD55" s="64"/>
      <c r="BE55" s="64">
        <f>SUM(BC55:BD55)</f>
        <v>0</v>
      </c>
      <c r="BF55" s="64">
        <v>37510.878748401454</v>
      </c>
      <c r="BG55" s="64">
        <v>36907</v>
      </c>
      <c r="BH55" s="64">
        <v>36285.289725934475</v>
      </c>
      <c r="BI55" s="64">
        <v>32956</v>
      </c>
      <c r="BJ55" s="64">
        <v>19522</v>
      </c>
      <c r="BK55" s="64">
        <v>35815.580128806439</v>
      </c>
      <c r="BL55" s="63">
        <v>18807</v>
      </c>
      <c r="BM55" s="63">
        <v>27417</v>
      </c>
      <c r="BN55" s="63">
        <v>29818</v>
      </c>
      <c r="BO55" s="63">
        <v>17825</v>
      </c>
      <c r="BP55" s="63">
        <v>20010</v>
      </c>
      <c r="BQ55" s="63">
        <v>16106</v>
      </c>
      <c r="BR55" s="63">
        <v>17536.703139592661</v>
      </c>
      <c r="BS55" s="63">
        <v>16342.869880531412</v>
      </c>
      <c r="BT55" s="64"/>
      <c r="BU55" s="65" t="s">
        <v>312</v>
      </c>
    </row>
    <row r="56" spans="1:73" s="58" customFormat="1" ht="33.75">
      <c r="A56" s="45" t="s">
        <v>303</v>
      </c>
      <c r="B56" s="46" t="s">
        <v>313</v>
      </c>
      <c r="C56" s="47"/>
      <c r="D56" s="47"/>
      <c r="E56" s="48"/>
      <c r="F56" s="48"/>
      <c r="G56" s="48"/>
      <c r="H56" s="48"/>
      <c r="I56" s="48">
        <v>429947.38</v>
      </c>
      <c r="J56" s="48"/>
      <c r="K56" s="48">
        <v>3346</v>
      </c>
      <c r="L56" s="48"/>
      <c r="M56" s="48"/>
      <c r="N56" s="48"/>
      <c r="O56" s="48"/>
      <c r="P56" s="48"/>
      <c r="Q56" s="48">
        <v>3920.07</v>
      </c>
      <c r="R56" s="48"/>
      <c r="S56" s="48"/>
      <c r="T56" s="48"/>
      <c r="U56" s="48">
        <v>1398</v>
      </c>
      <c r="V56" s="48">
        <f>3600+155</f>
        <v>3755</v>
      </c>
      <c r="W56" s="48"/>
      <c r="X56" s="48"/>
      <c r="Y56" s="48"/>
      <c r="Z56" s="48"/>
      <c r="AA56" s="48"/>
      <c r="AB56" s="48"/>
      <c r="AC56" s="48"/>
      <c r="AD56" s="48">
        <v>793.09</v>
      </c>
      <c r="AE56" s="48"/>
      <c r="AF56" s="48"/>
      <c r="AG56" s="48"/>
      <c r="AH56" s="48"/>
      <c r="AI56" s="49">
        <f t="shared" si="3"/>
        <v>443159.54000000004</v>
      </c>
      <c r="AJ56" s="50">
        <f t="shared" si="4"/>
        <v>8897.7399999999907</v>
      </c>
      <c r="AK56" s="51">
        <f>'[2]12-13 for 14-15 Asmt (updated)'!AI56</f>
        <v>434261.80000000005</v>
      </c>
      <c r="AL56" s="48">
        <v>49457.09</v>
      </c>
      <c r="AM56" s="48">
        <f>33947.06+1350+7425+1398</f>
        <v>44120.06</v>
      </c>
      <c r="AN56" s="48" t="s">
        <v>314</v>
      </c>
      <c r="AO56" s="48"/>
      <c r="AP56" s="48"/>
      <c r="AQ56" s="48">
        <v>6500</v>
      </c>
      <c r="AR56" s="52">
        <f t="shared" si="5"/>
        <v>1.4667403978260288E-2</v>
      </c>
      <c r="AS56" s="51">
        <f>'[1]08-09 for 10-11 Asmt'!AQ56</f>
        <v>127500</v>
      </c>
      <c r="AT56" s="51">
        <f t="shared" si="6"/>
        <v>100077.15</v>
      </c>
      <c r="AU56" s="50">
        <v>-5087.6199999999953</v>
      </c>
      <c r="AV56" s="51">
        <v>160894.96</v>
      </c>
      <c r="AW56" s="48">
        <f t="shared" si="1"/>
        <v>343082.39</v>
      </c>
      <c r="AX56" s="50">
        <v>34901.639999999985</v>
      </c>
      <c r="AY56" s="51">
        <f>'[1]10-11 for 12-13 Asmt'!AW56</f>
        <v>242162.19</v>
      </c>
      <c r="AZ56" s="54" t="s">
        <v>315</v>
      </c>
      <c r="BA56" s="54" t="s">
        <v>316</v>
      </c>
      <c r="BB56" s="57"/>
      <c r="BC56" s="56"/>
      <c r="BD56" s="57"/>
      <c r="BE56" s="57">
        <f>SUM(BC56:BD56)</f>
        <v>0</v>
      </c>
      <c r="BF56" s="57">
        <v>42085.889267487757</v>
      </c>
      <c r="BG56" s="57">
        <v>44938</v>
      </c>
      <c r="BH56" s="57">
        <v>44121.744783365131</v>
      </c>
      <c r="BI56" s="57">
        <v>43378</v>
      </c>
      <c r="BJ56" s="57">
        <v>49115</v>
      </c>
      <c r="BK56" s="57">
        <v>40809.581887465116</v>
      </c>
      <c r="BL56" s="56">
        <v>38996</v>
      </c>
      <c r="BM56" s="56">
        <v>40032</v>
      </c>
      <c r="BN56" s="56">
        <v>28344</v>
      </c>
      <c r="BO56" s="56">
        <v>31425</v>
      </c>
      <c r="BP56" s="56">
        <v>27654</v>
      </c>
      <c r="BQ56" s="56">
        <v>26475</v>
      </c>
      <c r="BR56" s="56">
        <v>21116.334952615794</v>
      </c>
      <c r="BS56" s="56">
        <v>20522.086634977353</v>
      </c>
      <c r="BT56" s="57"/>
      <c r="BU56" s="46" t="s">
        <v>313</v>
      </c>
    </row>
    <row r="57" spans="1:73">
      <c r="A57" s="45" t="s">
        <v>317</v>
      </c>
      <c r="B57" s="46" t="s">
        <v>318</v>
      </c>
      <c r="C57" s="59"/>
      <c r="D57" s="59"/>
      <c r="E57" s="60"/>
      <c r="F57" s="60"/>
      <c r="G57" s="60"/>
      <c r="H57" s="60"/>
      <c r="I57" s="60">
        <v>36969.129999999997</v>
      </c>
      <c r="J57" s="60"/>
      <c r="K57" s="60">
        <v>253</v>
      </c>
      <c r="L57" s="60"/>
      <c r="M57" s="60"/>
      <c r="N57" s="60"/>
      <c r="O57" s="60"/>
      <c r="P57" s="60"/>
      <c r="Q57" s="60">
        <v>13.89</v>
      </c>
      <c r="R57" s="60"/>
      <c r="S57" s="60"/>
      <c r="T57" s="60"/>
      <c r="U57" s="60"/>
      <c r="V57" s="60"/>
      <c r="W57" s="60"/>
      <c r="X57" s="60"/>
      <c r="Y57" s="60"/>
      <c r="Z57" s="60">
        <v>2854.05</v>
      </c>
      <c r="AA57" s="60"/>
      <c r="AB57" s="60"/>
      <c r="AC57" s="60"/>
      <c r="AD57" s="60"/>
      <c r="AE57" s="60"/>
      <c r="AF57" s="60"/>
      <c r="AG57" s="60"/>
      <c r="AH57" s="60">
        <v>3321.9</v>
      </c>
      <c r="AI57" s="49">
        <f t="shared" si="3"/>
        <v>43411.97</v>
      </c>
      <c r="AJ57" s="50">
        <f t="shared" si="4"/>
        <v>-4165.1499999999942</v>
      </c>
      <c r="AK57" s="51">
        <f>'[2]12-13 for 14-15 Asmt (updated)'!AI57</f>
        <v>47577.119999999995</v>
      </c>
      <c r="AL57" s="48">
        <v>102.38</v>
      </c>
      <c r="AM57" s="48">
        <v>1053.99</v>
      </c>
      <c r="AN57" s="60" t="s">
        <v>190</v>
      </c>
      <c r="AO57" s="48"/>
      <c r="AP57" s="54"/>
      <c r="AQ57" s="48"/>
      <c r="AR57" s="52">
        <f t="shared" si="5"/>
        <v>0</v>
      </c>
      <c r="AS57" s="51" t="e">
        <f>'[1]08-09 for 10-11 Asmt'!AQ57</f>
        <v>#REF!</v>
      </c>
      <c r="AT57" s="51">
        <f t="shared" si="6"/>
        <v>1156.3699999999999</v>
      </c>
      <c r="AU57" s="50">
        <v>-6921.8700000000008</v>
      </c>
      <c r="AV57" s="51">
        <v>11579.11</v>
      </c>
      <c r="AW57" s="48">
        <f t="shared" si="1"/>
        <v>42255.6</v>
      </c>
      <c r="AX57" s="50">
        <v>12560.670000000013</v>
      </c>
      <c r="AY57" s="51">
        <f>'[1]10-11 for 12-13 Asmt'!AW57</f>
        <v>33626.150000000009</v>
      </c>
      <c r="AZ57" s="60"/>
      <c r="BA57" s="61"/>
      <c r="BB57" s="64"/>
      <c r="BC57" s="63"/>
      <c r="BD57" s="64"/>
      <c r="BE57" s="64">
        <v>2022</v>
      </c>
      <c r="BF57" s="64">
        <v>1560.4585000000002</v>
      </c>
      <c r="BG57" s="64">
        <v>1793</v>
      </c>
      <c r="BH57" s="64">
        <v>1000</v>
      </c>
      <c r="BI57" s="64">
        <v>6141</v>
      </c>
      <c r="BJ57" s="64">
        <v>6657</v>
      </c>
      <c r="BK57" s="64">
        <v>6730.9977798148393</v>
      </c>
      <c r="BL57" s="63">
        <v>6210</v>
      </c>
      <c r="BM57" s="63">
        <v>5569</v>
      </c>
      <c r="BN57" s="63">
        <v>5383</v>
      </c>
      <c r="BO57" s="63">
        <v>5267</v>
      </c>
      <c r="BP57" s="63">
        <v>5146</v>
      </c>
      <c r="BQ57" s="63">
        <v>5037</v>
      </c>
      <c r="BR57" s="63">
        <v>4288.7229577013222</v>
      </c>
      <c r="BS57" s="63">
        <v>3337.3485772963618</v>
      </c>
      <c r="BT57" s="64"/>
      <c r="BU57" s="65" t="s">
        <v>318</v>
      </c>
    </row>
    <row r="58" spans="1:73">
      <c r="A58" s="45" t="s">
        <v>319</v>
      </c>
      <c r="B58" s="46" t="s">
        <v>320</v>
      </c>
      <c r="C58" s="59"/>
      <c r="D58" s="59"/>
      <c r="E58" s="60">
        <v>200</v>
      </c>
      <c r="F58" s="60"/>
      <c r="G58" s="60"/>
      <c r="H58" s="60"/>
      <c r="I58" s="60">
        <v>161604.79999999999</v>
      </c>
      <c r="J58" s="60"/>
      <c r="K58" s="60"/>
      <c r="L58" s="60"/>
      <c r="M58" s="60"/>
      <c r="N58" s="60"/>
      <c r="O58" s="60"/>
      <c r="P58" s="60"/>
      <c r="Q58" s="60"/>
      <c r="R58" s="60"/>
      <c r="S58" s="60"/>
      <c r="T58" s="60"/>
      <c r="U58" s="60"/>
      <c r="V58" s="60">
        <v>1571</v>
      </c>
      <c r="W58" s="60"/>
      <c r="X58" s="60"/>
      <c r="Y58" s="60"/>
      <c r="Z58" s="60"/>
      <c r="AA58" s="60"/>
      <c r="AB58" s="60"/>
      <c r="AC58" s="60"/>
      <c r="AD58" s="60">
        <v>43968.97</v>
      </c>
      <c r="AE58" s="60"/>
      <c r="AF58" s="60"/>
      <c r="AG58" s="60"/>
      <c r="AH58" s="60"/>
      <c r="AI58" s="49">
        <f t="shared" si="3"/>
        <v>207344.77</v>
      </c>
      <c r="AJ58" s="50">
        <f t="shared" si="4"/>
        <v>48092.369999999966</v>
      </c>
      <c r="AK58" s="51">
        <f>'[2]12-13 for 14-15 Asmt (updated)'!AI58</f>
        <v>159252.40000000002</v>
      </c>
      <c r="AL58" s="48">
        <v>18178</v>
      </c>
      <c r="AM58" s="48"/>
      <c r="AN58" s="60"/>
      <c r="AO58" s="48"/>
      <c r="AP58" s="48"/>
      <c r="AQ58" s="48">
        <v>40704</v>
      </c>
      <c r="AR58" s="52">
        <f t="shared" si="5"/>
        <v>0.19631071475784029</v>
      </c>
      <c r="AS58" s="51">
        <f>'[1]08-09 for 10-11 Asmt'!AQ58</f>
        <v>78426</v>
      </c>
      <c r="AT58" s="51">
        <f t="shared" si="6"/>
        <v>58882</v>
      </c>
      <c r="AU58" s="50">
        <v>-12166.539999999994</v>
      </c>
      <c r="AV58" s="51">
        <v>85297.79</v>
      </c>
      <c r="AW58" s="48">
        <f t="shared" si="1"/>
        <v>148462.76999999999</v>
      </c>
      <c r="AX58" s="50">
        <v>40258.12000000001</v>
      </c>
      <c r="AY58" s="51">
        <f>'[1]10-11 for 12-13 Asmt'!AW58</f>
        <v>98962.320000000022</v>
      </c>
      <c r="AZ58" s="61"/>
      <c r="BA58" s="61"/>
      <c r="BB58" s="64"/>
      <c r="BC58" s="63"/>
      <c r="BD58" s="64"/>
      <c r="BE58" s="64">
        <f t="shared" ref="BE58:BE65" si="9">SUM(BC58:BD58)</f>
        <v>0</v>
      </c>
      <c r="BF58" s="64">
        <v>4980</v>
      </c>
      <c r="BG58" s="64">
        <v>2490</v>
      </c>
      <c r="BH58" s="64">
        <v>7013.4729819128625</v>
      </c>
      <c r="BI58" s="64">
        <v>13261</v>
      </c>
      <c r="BJ58" s="64">
        <v>8983</v>
      </c>
      <c r="BK58" s="64">
        <v>5350</v>
      </c>
      <c r="BL58" s="63">
        <v>2675</v>
      </c>
      <c r="BM58" s="63">
        <v>500</v>
      </c>
      <c r="BN58" s="63">
        <v>2200</v>
      </c>
      <c r="BO58" s="63">
        <v>1100</v>
      </c>
      <c r="BP58" s="63">
        <v>4435</v>
      </c>
      <c r="BQ58" s="63">
        <v>1092</v>
      </c>
      <c r="BR58" s="63">
        <v>3477.3753099514897</v>
      </c>
      <c r="BS58" s="63">
        <v>3828.9023415792385</v>
      </c>
      <c r="BT58" s="64"/>
      <c r="BU58" s="65" t="s">
        <v>321</v>
      </c>
    </row>
    <row r="59" spans="1:73" s="58" customFormat="1" ht="33.75">
      <c r="A59" s="45" t="s">
        <v>322</v>
      </c>
      <c r="B59" s="46" t="s">
        <v>183</v>
      </c>
      <c r="C59" s="47"/>
      <c r="D59" s="47"/>
      <c r="E59" s="48">
        <v>1751.75</v>
      </c>
      <c r="F59" s="48"/>
      <c r="G59" s="48"/>
      <c r="H59" s="48"/>
      <c r="I59" s="48">
        <f>360581.68-23350</f>
        <v>337231.68</v>
      </c>
      <c r="J59" s="48"/>
      <c r="K59" s="48"/>
      <c r="L59" s="48"/>
      <c r="M59" s="48"/>
      <c r="N59" s="48">
        <v>23350</v>
      </c>
      <c r="O59" s="48"/>
      <c r="P59" s="48"/>
      <c r="Q59" s="48">
        <v>2300.8200000000002</v>
      </c>
      <c r="R59" s="48">
        <v>906.7</v>
      </c>
      <c r="S59" s="48">
        <v>38.58</v>
      </c>
      <c r="T59" s="48"/>
      <c r="U59" s="48">
        <v>3362</v>
      </c>
      <c r="V59" s="48">
        <v>194</v>
      </c>
      <c r="W59" s="48"/>
      <c r="X59" s="48">
        <v>350571.99</v>
      </c>
      <c r="Y59" s="48"/>
      <c r="Z59" s="48"/>
      <c r="AA59" s="48"/>
      <c r="AB59" s="48">
        <v>277</v>
      </c>
      <c r="AC59" s="48"/>
      <c r="AD59" s="48">
        <v>4080.09</v>
      </c>
      <c r="AE59" s="48"/>
      <c r="AF59" s="48"/>
      <c r="AG59" s="48"/>
      <c r="AH59" s="48">
        <v>9626.91</v>
      </c>
      <c r="AI59" s="49">
        <f t="shared" si="3"/>
        <v>733691.52</v>
      </c>
      <c r="AJ59" s="50">
        <f t="shared" si="4"/>
        <v>184205.62</v>
      </c>
      <c r="AK59" s="51">
        <f>'[2]12-13 for 14-15 Asmt (updated)'!AI59</f>
        <v>549485.9</v>
      </c>
      <c r="AL59" s="48">
        <f>37006.13+2431.79</f>
        <v>39437.919999999998</v>
      </c>
      <c r="AM59" s="48">
        <f>3362+2335</f>
        <v>5697</v>
      </c>
      <c r="AN59" s="48" t="s">
        <v>323</v>
      </c>
      <c r="AO59" s="48">
        <v>350571.99</v>
      </c>
      <c r="AP59" s="48"/>
      <c r="AQ59" s="48"/>
      <c r="AR59" s="52">
        <f t="shared" si="5"/>
        <v>0</v>
      </c>
      <c r="AS59" s="51" t="e">
        <f>'[1]08-09 for 10-11 Asmt'!AQ59</f>
        <v>#REF!</v>
      </c>
      <c r="AT59" s="51">
        <f t="shared" si="6"/>
        <v>395706.91</v>
      </c>
      <c r="AU59" s="50">
        <v>-24633.330000000075</v>
      </c>
      <c r="AV59" s="51">
        <v>364298.80000000005</v>
      </c>
      <c r="AW59" s="48">
        <f t="shared" si="1"/>
        <v>337984.61000000004</v>
      </c>
      <c r="AX59" s="50">
        <v>16876.930000000168</v>
      </c>
      <c r="AY59" s="51">
        <f>'[1]10-11 for 12-13 Asmt'!AW59</f>
        <v>272887.83000000019</v>
      </c>
      <c r="AZ59" s="54" t="s">
        <v>324</v>
      </c>
      <c r="BA59" s="54" t="s">
        <v>325</v>
      </c>
      <c r="BB59" s="57"/>
      <c r="BC59" s="56"/>
      <c r="BD59" s="57"/>
      <c r="BE59" s="57">
        <f t="shared" si="9"/>
        <v>0</v>
      </c>
      <c r="BF59" s="57">
        <v>41669.69297595814</v>
      </c>
      <c r="BG59" s="57">
        <v>43418</v>
      </c>
      <c r="BH59" s="57">
        <v>39332.107496838085</v>
      </c>
      <c r="BI59" s="57">
        <v>42486</v>
      </c>
      <c r="BJ59" s="57">
        <v>38562</v>
      </c>
      <c r="BK59" s="57">
        <v>34314.914968460995</v>
      </c>
      <c r="BL59" s="56">
        <v>35417</v>
      </c>
      <c r="BM59" s="56">
        <v>27830</v>
      </c>
      <c r="BN59" s="56">
        <v>24335</v>
      </c>
      <c r="BO59" s="56">
        <v>26799</v>
      </c>
      <c r="BP59" s="56">
        <v>24600</v>
      </c>
      <c r="BQ59" s="56">
        <v>21757</v>
      </c>
      <c r="BR59" s="56">
        <v>16898.590833917482</v>
      </c>
      <c r="BS59" s="56">
        <v>16341.215474700715</v>
      </c>
      <c r="BT59" s="57"/>
      <c r="BU59" s="46" t="s">
        <v>183</v>
      </c>
    </row>
    <row r="60" spans="1:73">
      <c r="A60" s="45" t="s">
        <v>326</v>
      </c>
      <c r="B60" s="46" t="s">
        <v>327</v>
      </c>
      <c r="C60" s="59"/>
      <c r="D60" s="59"/>
      <c r="E60" s="60">
        <v>100</v>
      </c>
      <c r="F60" s="60"/>
      <c r="G60" s="60"/>
      <c r="H60" s="60"/>
      <c r="I60" s="60">
        <v>68156.36</v>
      </c>
      <c r="J60" s="60"/>
      <c r="K60" s="60">
        <v>3348.55</v>
      </c>
      <c r="L60" s="60"/>
      <c r="M60" s="60"/>
      <c r="N60" s="60"/>
      <c r="O60" s="60"/>
      <c r="P60" s="60">
        <v>4618.53</v>
      </c>
      <c r="Q60" s="60">
        <v>3.22</v>
      </c>
      <c r="R60" s="60"/>
      <c r="S60" s="60"/>
      <c r="T60" s="60"/>
      <c r="U60" s="60">
        <v>600</v>
      </c>
      <c r="V60" s="60"/>
      <c r="W60" s="60"/>
      <c r="X60" s="60"/>
      <c r="Y60" s="60"/>
      <c r="Z60" s="60"/>
      <c r="AA60" s="60"/>
      <c r="AB60" s="60"/>
      <c r="AC60" s="60"/>
      <c r="AD60" s="60"/>
      <c r="AE60" s="60"/>
      <c r="AF60" s="60"/>
      <c r="AG60" s="60"/>
      <c r="AH60" s="60"/>
      <c r="AI60" s="49">
        <f t="shared" si="3"/>
        <v>76826.66</v>
      </c>
      <c r="AJ60" s="50">
        <f t="shared" si="4"/>
        <v>5857.1100000000006</v>
      </c>
      <c r="AK60" s="51">
        <f>'[2]12-13 for 14-15 Asmt (updated)'!AI60</f>
        <v>70969.55</v>
      </c>
      <c r="AL60" s="48"/>
      <c r="AM60" s="48">
        <f>3348.55+600</f>
        <v>3948.55</v>
      </c>
      <c r="AN60" s="60" t="s">
        <v>328</v>
      </c>
      <c r="AO60" s="48"/>
      <c r="AP60" s="48"/>
      <c r="AQ60" s="48"/>
      <c r="AR60" s="52">
        <f t="shared" si="5"/>
        <v>0</v>
      </c>
      <c r="AS60" s="51" t="e">
        <f>'[1]08-09 for 10-11 Asmt'!AQ60</f>
        <v>#REF!</v>
      </c>
      <c r="AT60" s="51">
        <f t="shared" si="6"/>
        <v>3948.55</v>
      </c>
      <c r="AU60" s="50">
        <v>-3149.6100000000006</v>
      </c>
      <c r="AV60" s="51">
        <v>12969.54</v>
      </c>
      <c r="AW60" s="48">
        <f t="shared" si="1"/>
        <v>72878.11</v>
      </c>
      <c r="AX60" s="50">
        <v>2756.7400000000198</v>
      </c>
      <c r="AY60" s="51">
        <f>'[1]10-11 for 12-13 Asmt'!AW60</f>
        <v>55229.649999999994</v>
      </c>
      <c r="AZ60" s="60"/>
      <c r="BA60" s="60" t="s">
        <v>329</v>
      </c>
      <c r="BB60" s="64"/>
      <c r="BC60" s="63"/>
      <c r="BD60" s="64"/>
      <c r="BE60" s="64">
        <f t="shared" si="9"/>
        <v>0</v>
      </c>
      <c r="BF60" s="64">
        <v>10476.798164154497</v>
      </c>
      <c r="BG60" s="64">
        <v>10283</v>
      </c>
      <c r="BH60" s="64">
        <v>7394.4075800076535</v>
      </c>
      <c r="BI60" s="64">
        <v>8307</v>
      </c>
      <c r="BJ60" s="64">
        <v>8246</v>
      </c>
      <c r="BK60" s="64">
        <v>9515.9307069234201</v>
      </c>
      <c r="BL60" s="63">
        <v>8509</v>
      </c>
      <c r="BM60" s="63">
        <v>8145</v>
      </c>
      <c r="BN60" s="63">
        <v>8410</v>
      </c>
      <c r="BO60" s="63">
        <v>8514</v>
      </c>
      <c r="BP60" s="63">
        <v>7818</v>
      </c>
      <c r="BQ60" s="63">
        <v>7551</v>
      </c>
      <c r="BR60" s="63">
        <v>7217.77935809684</v>
      </c>
      <c r="BS60" s="63">
        <v>5975.1940854705499</v>
      </c>
      <c r="BT60" s="64"/>
      <c r="BU60" s="65" t="s">
        <v>330</v>
      </c>
    </row>
    <row r="61" spans="1:73">
      <c r="A61" s="45" t="s">
        <v>331</v>
      </c>
      <c r="B61" s="46" t="s">
        <v>332</v>
      </c>
      <c r="C61" s="59"/>
      <c r="D61" s="59"/>
      <c r="E61" s="60"/>
      <c r="F61" s="60"/>
      <c r="G61" s="60"/>
      <c r="H61" s="60"/>
      <c r="I61" s="60">
        <v>207055.35999999999</v>
      </c>
      <c r="J61" s="60"/>
      <c r="K61" s="60">
        <v>12928.42</v>
      </c>
      <c r="L61" s="60"/>
      <c r="M61" s="60"/>
      <c r="N61" s="60"/>
      <c r="O61" s="60"/>
      <c r="P61" s="60"/>
      <c r="Q61" s="60">
        <v>1.69</v>
      </c>
      <c r="R61" s="60"/>
      <c r="S61" s="60"/>
      <c r="T61" s="60"/>
      <c r="U61" s="60">
        <v>1305</v>
      </c>
      <c r="V61" s="60">
        <v>1522.5</v>
      </c>
      <c r="W61" s="60"/>
      <c r="X61" s="60"/>
      <c r="Y61" s="60"/>
      <c r="Z61" s="60"/>
      <c r="AA61" s="60"/>
      <c r="AB61" s="60"/>
      <c r="AC61" s="60"/>
      <c r="AD61" s="60">
        <f>69+3040.49</f>
        <v>3109.49</v>
      </c>
      <c r="AE61" s="60"/>
      <c r="AF61" s="60">
        <v>10598.15</v>
      </c>
      <c r="AG61" s="60"/>
      <c r="AH61" s="60"/>
      <c r="AI61" s="49">
        <f t="shared" si="3"/>
        <v>236520.61</v>
      </c>
      <c r="AJ61" s="50">
        <f t="shared" si="4"/>
        <v>14923.309999999969</v>
      </c>
      <c r="AK61" s="51">
        <f>'[2]12-13 for 14-15 Asmt (updated)'!AI61</f>
        <v>221597.30000000002</v>
      </c>
      <c r="AL61" s="48">
        <f>1324.88+125</f>
        <v>1449.88</v>
      </c>
      <c r="AM61" s="48">
        <f>1060+1305</f>
        <v>2365</v>
      </c>
      <c r="AN61" s="60" t="s">
        <v>333</v>
      </c>
      <c r="AO61" s="48"/>
      <c r="AP61" s="48"/>
      <c r="AQ61" s="48">
        <v>60223.05</v>
      </c>
      <c r="AR61" s="52">
        <f t="shared" si="5"/>
        <v>0.25462072840079353</v>
      </c>
      <c r="AS61" s="51">
        <f>'[1]08-09 for 10-11 Asmt'!AQ61</f>
        <v>90000</v>
      </c>
      <c r="AT61" s="51">
        <f t="shared" si="6"/>
        <v>64037.93</v>
      </c>
      <c r="AU61" s="50">
        <v>-62974.2</v>
      </c>
      <c r="AV61" s="51">
        <v>129702.84</v>
      </c>
      <c r="AW61" s="48">
        <f t="shared" si="1"/>
        <v>172482.68</v>
      </c>
      <c r="AX61" s="50">
        <v>34058.070000000036</v>
      </c>
      <c r="AY61" s="51">
        <f>'[1]10-11 for 12-13 Asmt'!AW61</f>
        <v>154707.49</v>
      </c>
      <c r="AZ61" s="61"/>
      <c r="BA61" s="74" t="s">
        <v>334</v>
      </c>
      <c r="BB61" s="64"/>
      <c r="BC61" s="63"/>
      <c r="BD61" s="64"/>
      <c r="BE61" s="64">
        <f t="shared" si="9"/>
        <v>0</v>
      </c>
      <c r="BF61" s="64">
        <v>17685.832645593811</v>
      </c>
      <c r="BG61" s="64">
        <v>19984</v>
      </c>
      <c r="BH61" s="64">
        <v>18907.433720040521</v>
      </c>
      <c r="BI61" s="64">
        <v>18620</v>
      </c>
      <c r="BJ61" s="64">
        <v>14239</v>
      </c>
      <c r="BK61" s="64">
        <v>15681.765300790936</v>
      </c>
      <c r="BL61" s="63">
        <v>12489</v>
      </c>
      <c r="BM61" s="63">
        <v>15465</v>
      </c>
      <c r="BN61" s="63">
        <v>15239</v>
      </c>
      <c r="BO61" s="63">
        <v>14788</v>
      </c>
      <c r="BP61" s="63">
        <v>10788</v>
      </c>
      <c r="BQ61" s="63">
        <v>11471</v>
      </c>
      <c r="BR61" s="63">
        <v>10211.320501016247</v>
      </c>
      <c r="BS61" s="63">
        <v>9819.6174160039973</v>
      </c>
      <c r="BT61" s="64"/>
      <c r="BU61" s="65" t="s">
        <v>335</v>
      </c>
    </row>
    <row r="62" spans="1:73" s="58" customFormat="1" ht="45">
      <c r="A62" s="45" t="s">
        <v>336</v>
      </c>
      <c r="B62" s="46" t="s">
        <v>337</v>
      </c>
      <c r="C62" s="47"/>
      <c r="D62" s="47"/>
      <c r="E62" s="48"/>
      <c r="F62" s="48"/>
      <c r="G62" s="48"/>
      <c r="H62" s="48"/>
      <c r="I62" s="48">
        <v>149577.62</v>
      </c>
      <c r="J62" s="48"/>
      <c r="K62" s="48">
        <f>3170.77+5956.25</f>
        <v>9127.02</v>
      </c>
      <c r="L62" s="48"/>
      <c r="M62" s="48"/>
      <c r="N62" s="48">
        <v>1500</v>
      </c>
      <c r="O62" s="48"/>
      <c r="P62" s="48">
        <f>2594.75+389.3+445.92</f>
        <v>3429.9700000000003</v>
      </c>
      <c r="Q62" s="48"/>
      <c r="R62" s="48"/>
      <c r="S62" s="48"/>
      <c r="T62" s="48">
        <v>2000</v>
      </c>
      <c r="U62" s="48">
        <v>1863</v>
      </c>
      <c r="V62" s="48"/>
      <c r="W62" s="48"/>
      <c r="X62" s="48"/>
      <c r="Y62" s="48"/>
      <c r="Z62" s="48">
        <v>18115</v>
      </c>
      <c r="AA62" s="48"/>
      <c r="AB62" s="48"/>
      <c r="AC62" s="48"/>
      <c r="AD62" s="48"/>
      <c r="AE62" s="48"/>
      <c r="AF62" s="48"/>
      <c r="AG62" s="48"/>
      <c r="AH62" s="48"/>
      <c r="AI62" s="49">
        <f>SUM(C62:AH62)-(H62)</f>
        <v>185612.61</v>
      </c>
      <c r="AJ62" s="50">
        <f>(AI62-AK62)</f>
        <v>38675.73000000001</v>
      </c>
      <c r="AK62" s="51">
        <f>'[2]12-13 for 14-15 Asmt (updated)'!AI65</f>
        <v>146936.87999999998</v>
      </c>
      <c r="AL62" s="48">
        <v>3591.05</v>
      </c>
      <c r="AM62" s="48">
        <f>5956.25+1863+389.3+2000</f>
        <v>10208.549999999999</v>
      </c>
      <c r="AN62" s="48" t="s">
        <v>338</v>
      </c>
      <c r="AO62" s="48"/>
      <c r="AP62" s="48"/>
      <c r="AQ62" s="48"/>
      <c r="AR62" s="52">
        <f>(AQ62/AI62)</f>
        <v>0</v>
      </c>
      <c r="AS62" s="51" t="e">
        <f>'[1]08-09 for 10-11 Asmt'!AQ65</f>
        <v>#REF!</v>
      </c>
      <c r="AT62" s="51">
        <f>SUM(AL62+AM62+AO62+AQ62)</f>
        <v>13799.599999999999</v>
      </c>
      <c r="AU62" s="50">
        <f>(AT62-AV62)</f>
        <v>77.359999999996944</v>
      </c>
      <c r="AV62" s="51">
        <f>'[1]08-09 for 10-11 Asmt'!AT65</f>
        <v>13722.240000000002</v>
      </c>
      <c r="AW62" s="48">
        <f>(AI62-AT62)</f>
        <v>171813.00999999998</v>
      </c>
      <c r="AX62" s="50">
        <f>(AW62-AY62)</f>
        <v>43966.929999999993</v>
      </c>
      <c r="AY62" s="51">
        <f>'[1]10-11 for 12-13 Asmt'!AW65</f>
        <v>127846.07999999999</v>
      </c>
      <c r="AZ62" s="54" t="s">
        <v>339</v>
      </c>
      <c r="BA62" s="54" t="s">
        <v>340</v>
      </c>
      <c r="BB62" s="57"/>
      <c r="BC62" s="56"/>
      <c r="BD62" s="57"/>
      <c r="BE62" s="57">
        <f>SUM(BC62:BD62)</f>
        <v>0</v>
      </c>
      <c r="BF62" s="57">
        <v>22179.122391462395</v>
      </c>
      <c r="BG62" s="57">
        <v>21553</v>
      </c>
      <c r="BH62" s="57">
        <v>18702.37221491948</v>
      </c>
      <c r="BI62" s="57">
        <v>16830</v>
      </c>
      <c r="BJ62" s="57">
        <v>17927</v>
      </c>
      <c r="BK62" s="57">
        <v>17420.683528193662</v>
      </c>
      <c r="BL62" s="56">
        <v>7476</v>
      </c>
      <c r="BM62" s="56">
        <v>6126</v>
      </c>
      <c r="BN62" s="56">
        <v>8612</v>
      </c>
      <c r="BO62" s="56">
        <v>6698</v>
      </c>
      <c r="BP62" s="56">
        <v>12420</v>
      </c>
      <c r="BQ62" s="56">
        <v>11267</v>
      </c>
      <c r="BR62" s="56">
        <v>10135.684751699573</v>
      </c>
      <c r="BS62" s="56">
        <v>9361.0021745511604</v>
      </c>
      <c r="BT62" s="57"/>
      <c r="BU62" s="46" t="s">
        <v>341</v>
      </c>
    </row>
    <row r="63" spans="1:73" ht="22.5">
      <c r="A63" s="45" t="s">
        <v>336</v>
      </c>
      <c r="B63" s="46" t="s">
        <v>342</v>
      </c>
      <c r="C63" s="59">
        <v>1482</v>
      </c>
      <c r="D63" s="59"/>
      <c r="E63" s="60"/>
      <c r="F63" s="60"/>
      <c r="G63" s="60"/>
      <c r="H63" s="60"/>
      <c r="I63" s="60">
        <v>95930.57</v>
      </c>
      <c r="J63" s="60"/>
      <c r="K63" s="60"/>
      <c r="L63" s="60"/>
      <c r="M63" s="60">
        <v>571</v>
      </c>
      <c r="N63" s="60"/>
      <c r="O63" s="60"/>
      <c r="P63" s="60"/>
      <c r="Q63" s="60">
        <v>56.19</v>
      </c>
      <c r="R63" s="60"/>
      <c r="S63" s="60"/>
      <c r="T63" s="60">
        <v>600</v>
      </c>
      <c r="U63" s="60">
        <v>315</v>
      </c>
      <c r="V63" s="60"/>
      <c r="W63" s="60"/>
      <c r="X63" s="60">
        <v>19915</v>
      </c>
      <c r="Y63" s="60"/>
      <c r="Z63" s="60"/>
      <c r="AA63" s="60"/>
      <c r="AB63" s="60"/>
      <c r="AC63" s="60"/>
      <c r="AD63" s="60">
        <f>503.7+2512.54</f>
        <v>3016.24</v>
      </c>
      <c r="AE63" s="60"/>
      <c r="AF63" s="60"/>
      <c r="AG63" s="60"/>
      <c r="AH63" s="60"/>
      <c r="AI63" s="49">
        <f>SUM(C63:AH63)-(H63)</f>
        <v>121886.00000000001</v>
      </c>
      <c r="AJ63" s="50">
        <f>(AI63-AK63)</f>
        <v>-10332.65999999996</v>
      </c>
      <c r="AK63" s="51">
        <f>'[2]12-13 for 14-15 Asmt (updated)'!AI62</f>
        <v>132218.65999999997</v>
      </c>
      <c r="AL63" s="48">
        <f>240.86+174.27</f>
        <v>415.13</v>
      </c>
      <c r="AM63" s="48">
        <f>315+600+571</f>
        <v>1486</v>
      </c>
      <c r="AN63" s="60" t="s">
        <v>343</v>
      </c>
      <c r="AO63" s="48">
        <v>19915</v>
      </c>
      <c r="AP63" s="48"/>
      <c r="AQ63" s="48">
        <v>15664.58</v>
      </c>
      <c r="AR63" s="52">
        <f>(AQ63/AI63)</f>
        <v>0.12851828758019787</v>
      </c>
      <c r="AS63" s="51">
        <f>'[1]08-09 for 10-11 Asmt'!AQ62</f>
        <v>15780</v>
      </c>
      <c r="AT63" s="51">
        <f>SUM(AL63+AM63+AO63+AQ63)</f>
        <v>37480.71</v>
      </c>
      <c r="AU63" s="50">
        <v>-3324.4200000000055</v>
      </c>
      <c r="AV63" s="51">
        <v>53376.18</v>
      </c>
      <c r="AW63" s="48">
        <f>(AI63-AT63)</f>
        <v>84405.290000000008</v>
      </c>
      <c r="AX63" s="50">
        <v>10566.730000000025</v>
      </c>
      <c r="AY63" s="51">
        <f>'[1]10-11 for 12-13 Asmt'!AW62</f>
        <v>84625.989999999991</v>
      </c>
      <c r="AZ63" s="60"/>
      <c r="BA63" s="61" t="s">
        <v>344</v>
      </c>
      <c r="BB63" s="64"/>
      <c r="BC63" s="63"/>
      <c r="BD63" s="64"/>
      <c r="BE63" s="64">
        <f>SUM(BC63:BD63)</f>
        <v>0</v>
      </c>
      <c r="BF63" s="64">
        <v>5638</v>
      </c>
      <c r="BG63" s="64">
        <v>2819</v>
      </c>
      <c r="BH63" s="64">
        <v>10695.285027931803</v>
      </c>
      <c r="BI63" s="64">
        <v>10741</v>
      </c>
      <c r="BJ63" s="64">
        <v>11200</v>
      </c>
      <c r="BK63" s="64">
        <v>10244.651030261859</v>
      </c>
      <c r="BL63" s="63">
        <v>9929</v>
      </c>
      <c r="BM63" s="63">
        <v>8536</v>
      </c>
      <c r="BN63" s="63">
        <v>7360</v>
      </c>
      <c r="BO63" s="63">
        <v>7080</v>
      </c>
      <c r="BP63" s="63">
        <v>8540</v>
      </c>
      <c r="BQ63" s="63">
        <v>8404</v>
      </c>
      <c r="BR63" s="63">
        <v>7235.3555976302778</v>
      </c>
      <c r="BS63" s="63">
        <v>6580.1564186398509</v>
      </c>
      <c r="BT63" s="64"/>
      <c r="BU63" s="65" t="s">
        <v>342</v>
      </c>
    </row>
    <row r="64" spans="1:73" s="58" customFormat="1" ht="33.75">
      <c r="A64" s="45" t="s">
        <v>345</v>
      </c>
      <c r="B64" s="46" t="s">
        <v>346</v>
      </c>
      <c r="C64" s="47"/>
      <c r="D64" s="47"/>
      <c r="E64" s="48"/>
      <c r="F64" s="48"/>
      <c r="G64" s="48"/>
      <c r="H64" s="48"/>
      <c r="I64" s="48">
        <v>80115.929999999993</v>
      </c>
      <c r="J64" s="48"/>
      <c r="K64" s="48"/>
      <c r="L64" s="48"/>
      <c r="M64" s="48"/>
      <c r="N64" s="48"/>
      <c r="O64" s="48"/>
      <c r="P64" s="48"/>
      <c r="Q64" s="48">
        <v>17.399999999999999</v>
      </c>
      <c r="R64" s="48"/>
      <c r="S64" s="48"/>
      <c r="T64" s="48"/>
      <c r="U64" s="48"/>
      <c r="V64" s="48">
        <v>0</v>
      </c>
      <c r="W64" s="48"/>
      <c r="X64" s="48"/>
      <c r="Y64" s="48"/>
      <c r="Z64" s="48"/>
      <c r="AA64" s="48"/>
      <c r="AB64" s="48"/>
      <c r="AC64" s="48"/>
      <c r="AE64" s="48"/>
      <c r="AF64" s="48"/>
      <c r="AG64" s="48"/>
      <c r="AH64" s="48"/>
      <c r="AI64" s="49">
        <f t="shared" si="3"/>
        <v>80133.329999999987</v>
      </c>
      <c r="AJ64" s="50">
        <f t="shared" si="4"/>
        <v>22330.069999999992</v>
      </c>
      <c r="AK64" s="51">
        <f>'[2]12-13 for 14-15 Asmt (updated)'!AI63</f>
        <v>57803.259999999995</v>
      </c>
      <c r="AL64" s="48">
        <v>173.03</v>
      </c>
      <c r="AM64" s="48">
        <v>6161.23</v>
      </c>
      <c r="AN64" s="54" t="s">
        <v>347</v>
      </c>
      <c r="AO64" s="48"/>
      <c r="AP64" s="48"/>
      <c r="AQ64" s="48"/>
      <c r="AR64" s="52">
        <f t="shared" si="5"/>
        <v>0</v>
      </c>
      <c r="AS64" s="51" t="e">
        <f>'[1]08-09 for 10-11 Asmt'!AQ63</f>
        <v>#REF!</v>
      </c>
      <c r="AT64" s="51">
        <f t="shared" si="6"/>
        <v>6334.2599999999993</v>
      </c>
      <c r="AU64" s="50">
        <v>-5417.3300000000017</v>
      </c>
      <c r="AV64" s="51">
        <v>11564.330000000002</v>
      </c>
      <c r="AW64" s="48">
        <f t="shared" si="1"/>
        <v>73799.069999999992</v>
      </c>
      <c r="AX64" s="50">
        <v>8168.0500000000029</v>
      </c>
      <c r="AY64" s="51">
        <f>'[1]10-11 for 12-13 Asmt'!AW63</f>
        <v>57597.75</v>
      </c>
      <c r="AZ64" s="54" t="s">
        <v>348</v>
      </c>
      <c r="BA64" s="54" t="s">
        <v>349</v>
      </c>
      <c r="BB64" s="57"/>
      <c r="BC64" s="56"/>
      <c r="BD64" s="57"/>
      <c r="BE64" s="57">
        <f t="shared" si="9"/>
        <v>0</v>
      </c>
      <c r="BF64" s="57">
        <v>2920.9364999999998</v>
      </c>
      <c r="BG64" s="57">
        <v>2256</v>
      </c>
      <c r="BH64" s="57">
        <v>9176.5908784157164</v>
      </c>
      <c r="BI64" s="57">
        <v>6395</v>
      </c>
      <c r="BJ64" s="57">
        <v>3500</v>
      </c>
      <c r="BK64" s="57">
        <v>1750</v>
      </c>
      <c r="BL64" s="56">
        <v>1000</v>
      </c>
      <c r="BM64" s="56">
        <v>1000</v>
      </c>
      <c r="BN64" s="56">
        <v>5451</v>
      </c>
      <c r="BO64" s="56">
        <v>4665</v>
      </c>
      <c r="BP64" s="56">
        <v>1104</v>
      </c>
      <c r="BQ64" s="56">
        <v>1078</v>
      </c>
      <c r="BR64" s="56">
        <v>3854.6908003848175</v>
      </c>
      <c r="BS64" s="56">
        <v>500</v>
      </c>
      <c r="BT64" s="57"/>
      <c r="BU64" s="46" t="s">
        <v>346</v>
      </c>
    </row>
    <row r="65" spans="1:73" ht="22.5">
      <c r="A65" s="45" t="s">
        <v>350</v>
      </c>
      <c r="B65" s="46" t="s">
        <v>351</v>
      </c>
      <c r="C65" s="59"/>
      <c r="D65" s="59">
        <v>7200</v>
      </c>
      <c r="E65" s="60"/>
      <c r="F65" s="60"/>
      <c r="G65" s="60"/>
      <c r="H65" s="60"/>
      <c r="I65" s="60">
        <v>412352.05</v>
      </c>
      <c r="J65" s="60"/>
      <c r="K65" s="60"/>
      <c r="L65" s="60"/>
      <c r="M65" s="60"/>
      <c r="N65" s="60"/>
      <c r="O65" s="60"/>
      <c r="P65" s="60">
        <v>1056.31</v>
      </c>
      <c r="Q65" s="60">
        <v>12.57</v>
      </c>
      <c r="R65" s="60"/>
      <c r="S65" s="60">
        <f>1625+193</f>
        <v>1818</v>
      </c>
      <c r="T65" s="60"/>
      <c r="U65" s="60">
        <v>2439</v>
      </c>
      <c r="V65" s="60">
        <v>3090</v>
      </c>
      <c r="W65" s="60">
        <v>2351.92</v>
      </c>
      <c r="X65" s="60"/>
      <c r="Y65" s="60"/>
      <c r="Z65" s="60"/>
      <c r="AA65" s="60"/>
      <c r="AB65" s="60">
        <v>1739.69</v>
      </c>
      <c r="AC65" s="60"/>
      <c r="AD65" s="60">
        <f>3671+750+2450+320.24</f>
        <v>7191.24</v>
      </c>
      <c r="AE65" s="60"/>
      <c r="AF65" s="60">
        <f>38223+20600.66</f>
        <v>58823.66</v>
      </c>
      <c r="AG65" s="60">
        <v>16137.42</v>
      </c>
      <c r="AH65" s="60">
        <v>15176.17</v>
      </c>
      <c r="AI65" s="49">
        <f>SUM(C65:AH65)-(H65)</f>
        <v>529388.02999999991</v>
      </c>
      <c r="AJ65" s="50">
        <f t="shared" si="4"/>
        <v>17527.399999999965</v>
      </c>
      <c r="AK65" s="51">
        <f>'[2]12-13 for 14-15 Asmt (updated)'!AI64</f>
        <v>511860.62999999995</v>
      </c>
      <c r="AL65" s="48">
        <f>3160.35+134.92</f>
        <v>3295.27</v>
      </c>
      <c r="AM65" s="48">
        <f>30045.63+2439+7200+2351.92</f>
        <v>42036.55</v>
      </c>
      <c r="AN65" s="61" t="s">
        <v>352</v>
      </c>
      <c r="AO65" s="48"/>
      <c r="AP65" s="48"/>
      <c r="AQ65" s="48">
        <v>140664.79999999999</v>
      </c>
      <c r="AR65" s="52">
        <f t="shared" si="5"/>
        <v>0.26571209024125464</v>
      </c>
      <c r="AS65" s="51">
        <f>'[1]08-09 for 10-11 Asmt'!AQ64</f>
        <v>91836.3</v>
      </c>
      <c r="AT65" s="51">
        <f t="shared" si="6"/>
        <v>185996.62</v>
      </c>
      <c r="AU65" s="50">
        <f t="shared" si="0"/>
        <v>59799.01999999999</v>
      </c>
      <c r="AV65" s="51">
        <f>'[1]08-09 for 10-11 Asmt'!AT64</f>
        <v>126197.6</v>
      </c>
      <c r="AW65" s="48">
        <f t="shared" si="1"/>
        <v>343391.40999999992</v>
      </c>
      <c r="AX65" s="50">
        <f t="shared" si="2"/>
        <v>26852.819999999891</v>
      </c>
      <c r="AY65" s="51">
        <f>'[1]10-11 for 12-13 Asmt'!AW64</f>
        <v>316538.59000000003</v>
      </c>
      <c r="AZ65" s="61"/>
      <c r="BA65" s="61" t="s">
        <v>353</v>
      </c>
      <c r="BB65" s="64"/>
      <c r="BC65" s="63"/>
      <c r="BD65" s="64"/>
      <c r="BE65" s="64">
        <f t="shared" si="9"/>
        <v>0</v>
      </c>
      <c r="BF65" s="64">
        <v>43533.135685677124</v>
      </c>
      <c r="BG65" s="64">
        <v>35331</v>
      </c>
      <c r="BH65" s="64">
        <v>29230.054609820418</v>
      </c>
      <c r="BI65" s="64">
        <v>17933</v>
      </c>
      <c r="BJ65" s="64">
        <v>17973</v>
      </c>
      <c r="BK65" s="64">
        <v>17631.739889550023</v>
      </c>
      <c r="BL65" s="63">
        <v>17271</v>
      </c>
      <c r="BM65" s="63">
        <v>14425</v>
      </c>
      <c r="BN65" s="63">
        <v>15683</v>
      </c>
      <c r="BO65" s="63">
        <v>15441</v>
      </c>
      <c r="BP65" s="63">
        <v>11822</v>
      </c>
      <c r="BQ65" s="63">
        <v>9263</v>
      </c>
      <c r="BR65" s="63">
        <v>10398.168728533796</v>
      </c>
      <c r="BS65" s="63">
        <v>10563.476309803928</v>
      </c>
      <c r="BT65" s="64"/>
      <c r="BU65" s="65" t="s">
        <v>351</v>
      </c>
    </row>
    <row r="66" spans="1:73" ht="22.5">
      <c r="A66" s="45" t="s">
        <v>354</v>
      </c>
      <c r="B66" s="46" t="s">
        <v>355</v>
      </c>
      <c r="C66" s="59"/>
      <c r="D66" s="59"/>
      <c r="E66" s="60"/>
      <c r="F66" s="60"/>
      <c r="G66" s="60"/>
      <c r="H66" s="60"/>
      <c r="I66" s="60">
        <v>85496.83</v>
      </c>
      <c r="J66" s="60"/>
      <c r="K66" s="60"/>
      <c r="L66" s="60"/>
      <c r="M66" s="60"/>
      <c r="N66" s="60"/>
      <c r="O66" s="60"/>
      <c r="P66" s="60">
        <v>1762.13</v>
      </c>
      <c r="Q66" s="60"/>
      <c r="R66" s="60"/>
      <c r="S66" s="60"/>
      <c r="T66" s="60">
        <v>700</v>
      </c>
      <c r="U66" s="60">
        <v>890</v>
      </c>
      <c r="V66" s="60">
        <v>110</v>
      </c>
      <c r="W66" s="60"/>
      <c r="X66" s="60"/>
      <c r="Y66" s="60"/>
      <c r="Z66" s="60"/>
      <c r="AA66" s="60"/>
      <c r="AB66" s="60"/>
      <c r="AC66" s="60"/>
      <c r="AD66" s="60">
        <f>179.1+32+22.9</f>
        <v>234</v>
      </c>
      <c r="AE66" s="60"/>
      <c r="AF66" s="60">
        <v>24194.15</v>
      </c>
      <c r="AG66" s="60"/>
      <c r="AH66" s="60">
        <v>1567</v>
      </c>
      <c r="AI66" s="49">
        <f t="shared" si="3"/>
        <v>114954.11000000002</v>
      </c>
      <c r="AJ66" s="50">
        <f t="shared" si="4"/>
        <v>-23833.569999999978</v>
      </c>
      <c r="AK66" s="51">
        <f>'[2]12-13 for 14-15 Asmt (updated)'!AI66</f>
        <v>138787.68</v>
      </c>
      <c r="AL66" s="48">
        <v>9037.09</v>
      </c>
      <c r="AM66" s="48">
        <f>11029.16+890+700</f>
        <v>12619.16</v>
      </c>
      <c r="AN66" s="60" t="s">
        <v>356</v>
      </c>
      <c r="AO66" s="48"/>
      <c r="AP66" s="48"/>
      <c r="AQ66" s="48">
        <v>21050</v>
      </c>
      <c r="AR66" s="52">
        <f t="shared" si="5"/>
        <v>0.18311654972579924</v>
      </c>
      <c r="AS66" s="51">
        <f>'[1]08-09 for 10-11 Asmt'!AQ66</f>
        <v>34352.92</v>
      </c>
      <c r="AT66" s="51">
        <f t="shared" si="6"/>
        <v>42706.25</v>
      </c>
      <c r="AU66" s="50">
        <f t="shared" si="0"/>
        <v>-19373.82</v>
      </c>
      <c r="AV66" s="51">
        <f>'[1]08-09 for 10-11 Asmt'!AT66</f>
        <v>62080.07</v>
      </c>
      <c r="AW66" s="48">
        <f t="shared" si="1"/>
        <v>72247.860000000015</v>
      </c>
      <c r="AX66" s="50">
        <f t="shared" si="2"/>
        <v>14034.310000000012</v>
      </c>
      <c r="AY66" s="51">
        <f>'[1]10-11 for 12-13 Asmt'!AW66</f>
        <v>58213.55</v>
      </c>
      <c r="AZ66" s="61"/>
      <c r="BA66" s="61" t="s">
        <v>357</v>
      </c>
      <c r="BB66" s="64"/>
      <c r="BC66" s="63"/>
      <c r="BD66" s="64"/>
      <c r="BE66" s="64">
        <v>2589</v>
      </c>
      <c r="BF66" s="64">
        <v>7000</v>
      </c>
      <c r="BG66" s="64">
        <v>3500</v>
      </c>
      <c r="BH66" s="64">
        <v>1750</v>
      </c>
      <c r="BI66" s="64">
        <v>5048</v>
      </c>
      <c r="BJ66" s="64">
        <v>7060</v>
      </c>
      <c r="BK66" s="64">
        <v>8685.1025993161184</v>
      </c>
      <c r="BL66" s="63">
        <v>7432</v>
      </c>
      <c r="BM66" s="63">
        <v>8167</v>
      </c>
      <c r="BN66" s="63">
        <v>7846</v>
      </c>
      <c r="BO66" s="63">
        <v>9289</v>
      </c>
      <c r="BP66" s="63">
        <v>8032</v>
      </c>
      <c r="BQ66" s="63">
        <v>8284</v>
      </c>
      <c r="BR66" s="63">
        <v>7934.5561878715016</v>
      </c>
      <c r="BS66" s="63">
        <v>4950.5780850973451</v>
      </c>
      <c r="BT66" s="64"/>
      <c r="BU66" s="65" t="s">
        <v>358</v>
      </c>
    </row>
    <row r="67" spans="1:73" s="58" customFormat="1" ht="33.75">
      <c r="A67" s="45" t="s">
        <v>354</v>
      </c>
      <c r="B67" s="46" t="s">
        <v>359</v>
      </c>
      <c r="C67" s="47">
        <v>13890</v>
      </c>
      <c r="D67" s="47"/>
      <c r="E67" s="48"/>
      <c r="F67" s="48"/>
      <c r="G67" s="48"/>
      <c r="H67" s="48"/>
      <c r="I67" s="48">
        <v>965235</v>
      </c>
      <c r="J67" s="48"/>
      <c r="K67" s="48">
        <v>22393.29</v>
      </c>
      <c r="L67" s="48"/>
      <c r="M67" s="48"/>
      <c r="N67" s="48"/>
      <c r="O67" s="48"/>
      <c r="P67" s="48"/>
      <c r="Q67" s="48"/>
      <c r="R67" s="48"/>
      <c r="S67" s="48">
        <v>5358</v>
      </c>
      <c r="T67" s="48"/>
      <c r="U67" s="48"/>
      <c r="V67" s="48">
        <f>3515+724</f>
        <v>4239</v>
      </c>
      <c r="W67" s="48">
        <v>2565</v>
      </c>
      <c r="X67" s="48"/>
      <c r="Y67" s="48"/>
      <c r="Z67" s="48"/>
      <c r="AA67" s="48"/>
      <c r="AB67" s="48"/>
      <c r="AC67" s="48"/>
      <c r="AD67" s="48"/>
      <c r="AE67" s="48"/>
      <c r="AF67" s="48">
        <v>119529</v>
      </c>
      <c r="AG67" s="48"/>
      <c r="AH67" s="48"/>
      <c r="AI67" s="49">
        <f t="shared" si="3"/>
        <v>1133209.29</v>
      </c>
      <c r="AJ67" s="50">
        <f t="shared" si="4"/>
        <v>68390.290000000037</v>
      </c>
      <c r="AK67" s="51">
        <f>'[2]12-13 for 14-15 Asmt (updated)'!AI67</f>
        <v>1064819</v>
      </c>
      <c r="AL67" s="48">
        <v>41946</v>
      </c>
      <c r="AM67" s="48">
        <f>67069+13890</f>
        <v>80959</v>
      </c>
      <c r="AN67" s="48" t="s">
        <v>360</v>
      </c>
      <c r="AO67" s="48"/>
      <c r="AP67" s="48"/>
      <c r="AQ67" s="48">
        <v>647636</v>
      </c>
      <c r="AR67" s="52">
        <f t="shared" si="5"/>
        <v>0.57150608075230303</v>
      </c>
      <c r="AS67" s="51">
        <f>'[1]08-09 for 10-11 Asmt'!AQ67</f>
        <v>535268.19000000006</v>
      </c>
      <c r="AT67" s="51">
        <f t="shared" si="6"/>
        <v>770541</v>
      </c>
      <c r="AU67" s="50">
        <f t="shared" si="0"/>
        <v>72815.019999999902</v>
      </c>
      <c r="AV67" s="51">
        <f>'[1]08-09 for 10-11 Asmt'!AT67</f>
        <v>697725.9800000001</v>
      </c>
      <c r="AW67" s="48">
        <f t="shared" si="1"/>
        <v>362668.29000000004</v>
      </c>
      <c r="AX67" s="50">
        <f t="shared" si="2"/>
        <v>-5363.7099999999627</v>
      </c>
      <c r="AY67" s="51">
        <f>'[1]10-11 for 12-13 Asmt'!AW67</f>
        <v>368032</v>
      </c>
      <c r="AZ67" s="54"/>
      <c r="BA67" s="54" t="s">
        <v>361</v>
      </c>
      <c r="BB67" s="57"/>
      <c r="BC67" s="56"/>
      <c r="BD67" s="57"/>
      <c r="BE67" s="57">
        <f t="shared" ref="BE67:BE81" si="10">SUM(BC67:BD67)</f>
        <v>0</v>
      </c>
      <c r="BF67" s="57">
        <v>64109.560414751439</v>
      </c>
      <c r="BG67" s="57">
        <v>63502</v>
      </c>
      <c r="BH67" s="57">
        <v>56095.536361500468</v>
      </c>
      <c r="BI67" s="57">
        <v>58851</v>
      </c>
      <c r="BJ67" s="57">
        <v>46143</v>
      </c>
      <c r="BK67" s="57">
        <v>36843.107727258597</v>
      </c>
      <c r="BL67" s="56">
        <v>39407</v>
      </c>
      <c r="BM67" s="56">
        <v>32139</v>
      </c>
      <c r="BN67" s="56">
        <v>32703</v>
      </c>
      <c r="BO67" s="56">
        <v>14594</v>
      </c>
      <c r="BP67" s="56">
        <v>11150</v>
      </c>
      <c r="BQ67" s="56">
        <v>14499</v>
      </c>
      <c r="BR67" s="56">
        <v>11889.527347975951</v>
      </c>
      <c r="BS67" s="56">
        <v>15911.50733037552</v>
      </c>
      <c r="BT67" s="57"/>
      <c r="BU67" s="46" t="s">
        <v>362</v>
      </c>
    </row>
    <row r="68" spans="1:73" s="58" customFormat="1">
      <c r="A68" s="45" t="s">
        <v>363</v>
      </c>
      <c r="B68" s="46" t="s">
        <v>364</v>
      </c>
      <c r="C68" s="47">
        <v>5500</v>
      </c>
      <c r="D68" s="47"/>
      <c r="E68" s="48">
        <v>4190</v>
      </c>
      <c r="F68" s="48"/>
      <c r="G68" s="48"/>
      <c r="H68" s="48"/>
      <c r="I68" s="48">
        <v>68110.490000000005</v>
      </c>
      <c r="J68" s="48"/>
      <c r="K68" s="48">
        <v>1986</v>
      </c>
      <c r="L68" s="48"/>
      <c r="M68" s="48"/>
      <c r="N68" s="48"/>
      <c r="O68" s="48"/>
      <c r="P68" s="48">
        <v>1359.38</v>
      </c>
      <c r="Q68" s="48">
        <v>5.03</v>
      </c>
      <c r="R68" s="48"/>
      <c r="S68" s="48"/>
      <c r="T68" s="48"/>
      <c r="U68" s="48">
        <v>2235</v>
      </c>
      <c r="V68" s="48">
        <v>4365</v>
      </c>
      <c r="W68" s="48"/>
      <c r="X68" s="48">
        <v>295</v>
      </c>
      <c r="Y68" s="48"/>
      <c r="Z68" s="48"/>
      <c r="AA68" s="48"/>
      <c r="AB68" s="48"/>
      <c r="AC68" s="48"/>
      <c r="AD68" s="48"/>
      <c r="AE68" s="48"/>
      <c r="AF68" s="48"/>
      <c r="AG68" s="48"/>
      <c r="AH68" s="48">
        <v>248.64</v>
      </c>
      <c r="AI68" s="49">
        <f t="shared" si="3"/>
        <v>88294.540000000008</v>
      </c>
      <c r="AJ68" s="50">
        <f t="shared" si="4"/>
        <v>5208.3500000000058</v>
      </c>
      <c r="AK68" s="51">
        <f>'[2]12-13 for 14-15 Asmt (updated)'!AI68</f>
        <v>83086.19</v>
      </c>
      <c r="AL68" s="48">
        <v>2944.46</v>
      </c>
      <c r="AM68" s="48">
        <f>100+5500+2235</f>
        <v>7835</v>
      </c>
      <c r="AN68" s="48" t="s">
        <v>365</v>
      </c>
      <c r="AO68" s="48">
        <v>295</v>
      </c>
      <c r="AP68" s="48"/>
      <c r="AQ68" s="48"/>
      <c r="AR68" s="52">
        <f t="shared" si="5"/>
        <v>0</v>
      </c>
      <c r="AS68" s="51" t="e">
        <f>'[1]08-09 for 10-11 Asmt'!AQ68</f>
        <v>#REF!</v>
      </c>
      <c r="AT68" s="51">
        <f t="shared" si="6"/>
        <v>11074.46</v>
      </c>
      <c r="AU68" s="50">
        <f t="shared" si="0"/>
        <v>4269.1799999999994</v>
      </c>
      <c r="AV68" s="51">
        <f>'[1]08-09 for 10-11 Asmt'!AT68</f>
        <v>6805.28</v>
      </c>
      <c r="AW68" s="48">
        <f t="shared" si="1"/>
        <v>77220.080000000016</v>
      </c>
      <c r="AX68" s="50">
        <f t="shared" si="2"/>
        <v>21895.180000000015</v>
      </c>
      <c r="AY68" s="51">
        <f>'[1]10-11 for 12-13 Asmt'!AW68</f>
        <v>55324.9</v>
      </c>
      <c r="AZ68" s="54"/>
      <c r="BA68" s="54"/>
      <c r="BB68" s="57"/>
      <c r="BC68" s="57"/>
      <c r="BD68" s="57"/>
      <c r="BE68" s="57">
        <f t="shared" si="10"/>
        <v>0</v>
      </c>
      <c r="BF68" s="57">
        <v>10563.858287939283</v>
      </c>
      <c r="BG68" s="57">
        <v>10596</v>
      </c>
      <c r="BH68" s="57">
        <v>6000</v>
      </c>
      <c r="BI68" s="57">
        <v>3000</v>
      </c>
      <c r="BJ68" s="57">
        <v>1500</v>
      </c>
      <c r="BK68" s="57">
        <v>7039.4993189481975</v>
      </c>
      <c r="BL68" s="56">
        <v>5608</v>
      </c>
      <c r="BM68" s="56">
        <v>4977</v>
      </c>
      <c r="BN68" s="56">
        <v>5929</v>
      </c>
      <c r="BO68" s="56">
        <v>6663</v>
      </c>
      <c r="BP68" s="56">
        <v>5249</v>
      </c>
      <c r="BQ68" s="56">
        <v>4785</v>
      </c>
      <c r="BR68" s="56">
        <v>4460.5711873297732</v>
      </c>
      <c r="BS68" s="56">
        <v>3715.1033075618902</v>
      </c>
      <c r="BT68" s="57"/>
      <c r="BU68" s="46" t="s">
        <v>366</v>
      </c>
    </row>
    <row r="69" spans="1:73" s="58" customFormat="1" ht="67.5">
      <c r="A69" s="45" t="s">
        <v>367</v>
      </c>
      <c r="B69" s="46" t="s">
        <v>368</v>
      </c>
      <c r="C69" s="47"/>
      <c r="D69" s="47"/>
      <c r="E69" s="48"/>
      <c r="F69" s="48"/>
      <c r="G69" s="48"/>
      <c r="H69" s="48"/>
      <c r="I69" s="48">
        <v>197405.35</v>
      </c>
      <c r="J69" s="48">
        <v>532.6</v>
      </c>
      <c r="K69" s="48">
        <v>3929</v>
      </c>
      <c r="L69" s="48">
        <v>5863.15</v>
      </c>
      <c r="M69" s="48"/>
      <c r="N69" s="48"/>
      <c r="O69" s="48"/>
      <c r="P69" s="48">
        <v>309.22000000000003</v>
      </c>
      <c r="Q69" s="48"/>
      <c r="R69" s="48"/>
      <c r="S69" s="48">
        <f>320+825</f>
        <v>1145</v>
      </c>
      <c r="T69" s="48"/>
      <c r="U69" s="48">
        <v>2010</v>
      </c>
      <c r="V69" s="48">
        <v>1386</v>
      </c>
      <c r="W69" s="48">
        <v>5884</v>
      </c>
      <c r="X69" s="48">
        <f>134884.49+491.5</f>
        <v>135375.99</v>
      </c>
      <c r="Y69" s="48"/>
      <c r="Z69" s="48"/>
      <c r="AA69" s="48"/>
      <c r="AB69" s="48"/>
      <c r="AC69" s="48"/>
      <c r="AD69" s="48">
        <f>842.53+1237</f>
        <v>2079.5299999999997</v>
      </c>
      <c r="AE69" s="48"/>
      <c r="AF69" s="48"/>
      <c r="AG69" s="48"/>
      <c r="AH69" s="48">
        <v>2486</v>
      </c>
      <c r="AI69" s="49">
        <f t="shared" si="3"/>
        <v>358405.84</v>
      </c>
      <c r="AJ69" s="50">
        <f t="shared" si="4"/>
        <v>89678.81</v>
      </c>
      <c r="AK69" s="51">
        <f>'[2]12-13 for 14-15 Asmt (updated)'!AI69</f>
        <v>268727.03000000003</v>
      </c>
      <c r="AL69" s="48">
        <v>9802.19</v>
      </c>
      <c r="AM69" s="48">
        <f>1477.03+3929+2010+5863.15</f>
        <v>13279.18</v>
      </c>
      <c r="AN69" s="54" t="s">
        <v>369</v>
      </c>
      <c r="AO69" s="48">
        <v>135375.99</v>
      </c>
      <c r="AP69" s="48"/>
      <c r="AQ69" s="48"/>
      <c r="AR69" s="52">
        <f t="shared" si="5"/>
        <v>0</v>
      </c>
      <c r="AS69" s="51" t="e">
        <f>'[1]08-09 for 10-11 Asmt'!AQ69</f>
        <v>#REF!</v>
      </c>
      <c r="AT69" s="51">
        <f t="shared" si="6"/>
        <v>158457.35999999999</v>
      </c>
      <c r="AU69" s="50">
        <f t="shared" si="0"/>
        <v>66897.889999999985</v>
      </c>
      <c r="AV69" s="51">
        <f>'[1]08-09 for 10-11 Asmt'!AT69</f>
        <v>91559.47</v>
      </c>
      <c r="AW69" s="48">
        <f t="shared" si="1"/>
        <v>199948.48000000004</v>
      </c>
      <c r="AX69" s="50">
        <f t="shared" si="2"/>
        <v>70075.620000000054</v>
      </c>
      <c r="AY69" s="51">
        <f>'[1]10-11 for 12-13 Asmt'!AW69</f>
        <v>129872.85999999999</v>
      </c>
      <c r="AZ69" s="54" t="s">
        <v>370</v>
      </c>
      <c r="BA69" s="54"/>
      <c r="BB69" s="57"/>
      <c r="BC69" s="56"/>
      <c r="BD69" s="57"/>
      <c r="BE69" s="57">
        <f t="shared" si="10"/>
        <v>0</v>
      </c>
      <c r="BF69" s="57">
        <v>18743.99924610083</v>
      </c>
      <c r="BG69" s="57">
        <v>16531</v>
      </c>
      <c r="BH69" s="57">
        <v>14035.314784045429</v>
      </c>
      <c r="BI69" s="57">
        <v>14012</v>
      </c>
      <c r="BJ69" s="57">
        <v>14522</v>
      </c>
      <c r="BK69" s="57">
        <v>5362.8737655455188</v>
      </c>
      <c r="BL69" s="56">
        <v>4156</v>
      </c>
      <c r="BM69" s="56">
        <v>2000</v>
      </c>
      <c r="BN69" s="56">
        <v>1000</v>
      </c>
      <c r="BO69" s="56">
        <v>525</v>
      </c>
      <c r="BP69" s="56">
        <v>0</v>
      </c>
      <c r="BQ69" s="56">
        <v>0</v>
      </c>
      <c r="BR69" s="56">
        <v>0</v>
      </c>
      <c r="BS69" s="56">
        <v>0</v>
      </c>
      <c r="BT69" s="57"/>
      <c r="BU69" s="46" t="s">
        <v>368</v>
      </c>
    </row>
    <row r="70" spans="1:73">
      <c r="A70" s="45" t="s">
        <v>371</v>
      </c>
      <c r="B70" s="46" t="s">
        <v>310</v>
      </c>
      <c r="C70" s="59"/>
      <c r="D70" s="59"/>
      <c r="E70" s="60">
        <v>2000</v>
      </c>
      <c r="F70" s="60"/>
      <c r="G70" s="60"/>
      <c r="H70" s="60"/>
      <c r="I70" s="60">
        <v>129328</v>
      </c>
      <c r="J70" s="60"/>
      <c r="K70" s="60">
        <v>5642.28</v>
      </c>
      <c r="L70" s="60"/>
      <c r="M70" s="60"/>
      <c r="N70" s="60"/>
      <c r="O70" s="60"/>
      <c r="P70" s="60"/>
      <c r="Q70" s="60">
        <v>2178.23</v>
      </c>
      <c r="R70" s="60"/>
      <c r="S70" s="60"/>
      <c r="T70" s="60"/>
      <c r="U70" s="60"/>
      <c r="V70" s="60"/>
      <c r="W70" s="60"/>
      <c r="X70" s="60"/>
      <c r="Y70" s="60"/>
      <c r="Z70" s="60"/>
      <c r="AA70" s="60"/>
      <c r="AB70" s="60"/>
      <c r="AC70" s="60"/>
      <c r="AD70" s="60"/>
      <c r="AE70" s="60"/>
      <c r="AF70" s="60">
        <v>21758.6</v>
      </c>
      <c r="AG70" s="60"/>
      <c r="AH70" s="60">
        <v>1899.5</v>
      </c>
      <c r="AI70" s="49">
        <f t="shared" si="3"/>
        <v>162806.61000000002</v>
      </c>
      <c r="AJ70" s="50">
        <f t="shared" si="4"/>
        <v>3673.9100000000617</v>
      </c>
      <c r="AK70" s="51">
        <f>'[2]12-13 for 14-15 Asmt (updated)'!AI70</f>
        <v>159132.69999999995</v>
      </c>
      <c r="AL70" s="48">
        <f>854.41+1800</f>
        <v>2654.41</v>
      </c>
      <c r="AM70" s="48">
        <f>1403.68+6907.75</f>
        <v>8311.43</v>
      </c>
      <c r="AN70" s="60" t="s">
        <v>190</v>
      </c>
      <c r="AO70" s="48"/>
      <c r="AP70" s="48"/>
      <c r="AQ70" s="48">
        <v>23436</v>
      </c>
      <c r="AR70" s="52">
        <f t="shared" si="5"/>
        <v>0.14394992930569586</v>
      </c>
      <c r="AS70" s="51">
        <f>'[1]08-09 for 10-11 Asmt'!AQ70</f>
        <v>48000</v>
      </c>
      <c r="AT70" s="51">
        <f t="shared" si="6"/>
        <v>34401.839999999997</v>
      </c>
      <c r="AU70" s="50">
        <f t="shared" ref="AU70:AU86" si="11">(AT70-AV70)</f>
        <v>-24021.730000000003</v>
      </c>
      <c r="AV70" s="51">
        <f>'[1]08-09 for 10-11 Asmt'!AT70</f>
        <v>58423.57</v>
      </c>
      <c r="AW70" s="48">
        <f t="shared" ref="AW70:AW86" si="12">(AI70-AT70)</f>
        <v>128404.77000000002</v>
      </c>
      <c r="AX70" s="50">
        <f t="shared" ref="AX70:AX86" si="13">(AW70-AY70)</f>
        <v>42393.460000000036</v>
      </c>
      <c r="AY70" s="51">
        <f>'[1]10-11 for 12-13 Asmt'!AW70</f>
        <v>86011.309999999983</v>
      </c>
      <c r="AZ70" s="60"/>
      <c r="BA70" s="60"/>
      <c r="BB70" s="64"/>
      <c r="BC70" s="63"/>
      <c r="BD70" s="64"/>
      <c r="BE70" s="64">
        <f t="shared" si="10"/>
        <v>0</v>
      </c>
      <c r="BF70" s="64">
        <v>11668.961867920007</v>
      </c>
      <c r="BG70" s="64">
        <v>12403</v>
      </c>
      <c r="BH70" s="64">
        <v>10309.77667696473</v>
      </c>
      <c r="BI70" s="64">
        <v>9573</v>
      </c>
      <c r="BJ70" s="64">
        <v>9669</v>
      </c>
      <c r="BK70" s="64">
        <v>9462.7418152855607</v>
      </c>
      <c r="BL70" s="63">
        <v>9056</v>
      </c>
      <c r="BM70" s="63">
        <v>7601</v>
      </c>
      <c r="BN70" s="63">
        <v>8921</v>
      </c>
      <c r="BO70" s="63">
        <v>8599</v>
      </c>
      <c r="BP70" s="63">
        <v>5805</v>
      </c>
      <c r="BQ70" s="63">
        <v>4742</v>
      </c>
      <c r="BR70" s="63">
        <v>5287.1463292475601</v>
      </c>
      <c r="BS70" s="63">
        <v>5359.0363056415599</v>
      </c>
      <c r="BT70" s="64"/>
      <c r="BU70" s="65" t="s">
        <v>310</v>
      </c>
    </row>
    <row r="71" spans="1:73">
      <c r="A71" s="45" t="s">
        <v>371</v>
      </c>
      <c r="B71" s="46" t="s">
        <v>372</v>
      </c>
      <c r="C71" s="59">
        <v>35258</v>
      </c>
      <c r="D71" s="59"/>
      <c r="E71" s="60"/>
      <c r="F71" s="60"/>
      <c r="G71" s="60"/>
      <c r="H71" s="60"/>
      <c r="I71" s="60">
        <v>84701</v>
      </c>
      <c r="J71" s="60"/>
      <c r="K71" s="60"/>
      <c r="L71" s="60"/>
      <c r="M71" s="60"/>
      <c r="N71" s="60"/>
      <c r="O71" s="60"/>
      <c r="P71" s="60"/>
      <c r="Q71" s="60">
        <v>14.27</v>
      </c>
      <c r="R71" s="60"/>
      <c r="S71" s="60"/>
      <c r="T71" s="60"/>
      <c r="U71" s="60">
        <v>780</v>
      </c>
      <c r="V71" s="60"/>
      <c r="W71" s="60">
        <v>612</v>
      </c>
      <c r="X71" s="60"/>
      <c r="Y71" s="60"/>
      <c r="Z71" s="60">
        <v>14180</v>
      </c>
      <c r="AA71" s="60"/>
      <c r="AB71" s="60"/>
      <c r="AC71" s="60"/>
      <c r="AD71" s="60">
        <v>1100</v>
      </c>
      <c r="AE71" s="60"/>
      <c r="AF71" s="60"/>
      <c r="AG71" s="60"/>
      <c r="AH71" s="60"/>
      <c r="AI71" s="49">
        <f t="shared" ref="AI71:AI86" si="14">SUM(C71:AH71)-(H71)</f>
        <v>136645.27000000002</v>
      </c>
      <c r="AJ71" s="50">
        <f t="shared" ref="AJ71:AJ86" si="15">(AI71-AK71)</f>
        <v>26371.520000000019</v>
      </c>
      <c r="AK71" s="51">
        <f>'[2]12-13 for 14-15 Asmt (updated)'!AI71</f>
        <v>110273.75</v>
      </c>
      <c r="AL71" s="48"/>
      <c r="AM71" s="48">
        <f>35258+780</f>
        <v>36038</v>
      </c>
      <c r="AN71" s="60" t="s">
        <v>373</v>
      </c>
      <c r="AO71" s="48"/>
      <c r="AP71" s="48"/>
      <c r="AQ71" s="48"/>
      <c r="AR71" s="52">
        <f t="shared" ref="AR71:AR86" si="16">(AQ71/AI71)</f>
        <v>0</v>
      </c>
      <c r="AS71" s="51" t="e">
        <f>'[1]08-09 for 10-11 Asmt'!AQ71</f>
        <v>#REF!</v>
      </c>
      <c r="AT71" s="51">
        <f t="shared" ref="AT71:AT86" si="17">SUM(AL71+AM71+AO71+AQ71)</f>
        <v>36038</v>
      </c>
      <c r="AU71" s="50">
        <f t="shared" si="11"/>
        <v>7919.4599999999991</v>
      </c>
      <c r="AV71" s="51">
        <f>'[1]08-09 for 10-11 Asmt'!AT71</f>
        <v>28118.54</v>
      </c>
      <c r="AW71" s="48">
        <f t="shared" si="12"/>
        <v>100607.27000000002</v>
      </c>
      <c r="AX71" s="50">
        <f t="shared" si="13"/>
        <v>10247.98000000004</v>
      </c>
      <c r="AY71" s="51">
        <f>'[1]10-11 for 12-13 Asmt'!AW71</f>
        <v>90359.289999999979</v>
      </c>
      <c r="AZ71" s="61"/>
      <c r="BA71" s="61"/>
      <c r="BB71" s="64"/>
      <c r="BC71" s="63"/>
      <c r="BD71" s="64"/>
      <c r="BE71" s="64">
        <f t="shared" si="10"/>
        <v>0</v>
      </c>
      <c r="BF71" s="64">
        <v>14609.55536235107</v>
      </c>
      <c r="BG71" s="64">
        <v>14651</v>
      </c>
      <c r="BH71" s="64">
        <v>12926.110860323866</v>
      </c>
      <c r="BI71" s="64">
        <v>11836</v>
      </c>
      <c r="BJ71" s="64">
        <v>12065</v>
      </c>
      <c r="BK71" s="64">
        <v>11114.13370041232</v>
      </c>
      <c r="BL71" s="63">
        <v>10862</v>
      </c>
      <c r="BM71" s="63">
        <v>8946</v>
      </c>
      <c r="BN71" s="63">
        <v>10364</v>
      </c>
      <c r="BO71" s="63">
        <v>9458</v>
      </c>
      <c r="BP71" s="63">
        <v>8782</v>
      </c>
      <c r="BQ71" s="63">
        <v>8245</v>
      </c>
      <c r="BR71" s="63">
        <v>9647.0178258788274</v>
      </c>
      <c r="BS71" s="63">
        <v>9802.2150950553405</v>
      </c>
      <c r="BT71" s="64"/>
      <c r="BU71" s="65" t="s">
        <v>372</v>
      </c>
    </row>
    <row r="72" spans="1:73" s="58" customFormat="1" ht="22.5">
      <c r="A72" s="45" t="s">
        <v>374</v>
      </c>
      <c r="B72" s="46" t="s">
        <v>375</v>
      </c>
      <c r="C72" s="47">
        <v>19422</v>
      </c>
      <c r="D72" s="47"/>
      <c r="E72" s="48"/>
      <c r="F72" s="48"/>
      <c r="G72" s="48"/>
      <c r="H72" s="48"/>
      <c r="I72" s="48">
        <v>158251.91</v>
      </c>
      <c r="J72" s="48">
        <v>246.24</v>
      </c>
      <c r="K72" s="48">
        <f>1258.88+8228.34</f>
        <v>9487.2200000000012</v>
      </c>
      <c r="L72" s="48"/>
      <c r="M72" s="48"/>
      <c r="N72" s="48">
        <v>22500</v>
      </c>
      <c r="O72" s="48"/>
      <c r="P72" s="48">
        <v>2351.0700000000002</v>
      </c>
      <c r="Q72" s="48">
        <v>13.79</v>
      </c>
      <c r="R72" s="48"/>
      <c r="S72" s="48"/>
      <c r="T72" s="48">
        <v>2975</v>
      </c>
      <c r="U72" s="48">
        <v>1299</v>
      </c>
      <c r="V72" s="48">
        <v>5550</v>
      </c>
      <c r="W72" s="48"/>
      <c r="X72" s="48"/>
      <c r="Y72" s="48">
        <v>9200</v>
      </c>
      <c r="Z72" s="48"/>
      <c r="AA72" s="48"/>
      <c r="AB72" s="48"/>
      <c r="AC72" s="48"/>
      <c r="AD72" s="48">
        <v>1841.44</v>
      </c>
      <c r="AE72" s="48"/>
      <c r="AF72" s="48">
        <v>35181.75</v>
      </c>
      <c r="AG72" s="48">
        <v>25144.66</v>
      </c>
      <c r="AH72" s="48">
        <v>4598.67</v>
      </c>
      <c r="AI72" s="49">
        <f t="shared" si="14"/>
        <v>298062.75</v>
      </c>
      <c r="AJ72" s="50">
        <f t="shared" si="15"/>
        <v>51944.479999999981</v>
      </c>
      <c r="AK72" s="51">
        <f>'[2]12-13 for 14-15 Asmt (updated)'!AI72</f>
        <v>246118.27000000002</v>
      </c>
      <c r="AL72" s="48">
        <v>100</v>
      </c>
      <c r="AM72" s="48">
        <f>22563.33+9733.68+4014.22+8228.34+22500+19422+1299+2975</f>
        <v>90735.57</v>
      </c>
      <c r="AN72" s="54" t="s">
        <v>376</v>
      </c>
      <c r="AO72" s="48"/>
      <c r="AP72" s="48"/>
      <c r="AQ72" s="48">
        <v>71749</v>
      </c>
      <c r="AR72" s="52">
        <f t="shared" si="16"/>
        <v>0.24071776832227443</v>
      </c>
      <c r="AS72" s="51">
        <f>'[1]08-09 for 10-11 Asmt'!AQ72</f>
        <v>70475.66</v>
      </c>
      <c r="AT72" s="51">
        <f t="shared" si="17"/>
        <v>162584.57</v>
      </c>
      <c r="AU72" s="50">
        <f t="shared" si="11"/>
        <v>-197961.07</v>
      </c>
      <c r="AV72" s="51">
        <f>'[1]08-09 for 10-11 Asmt'!AT72</f>
        <v>360545.64</v>
      </c>
      <c r="AW72" s="48">
        <f t="shared" si="12"/>
        <v>135478.18</v>
      </c>
      <c r="AX72" s="50">
        <f t="shared" si="13"/>
        <v>13499.610000000073</v>
      </c>
      <c r="AY72" s="51">
        <f>'[1]10-11 for 12-13 Asmt'!AW72</f>
        <v>121978.56999999992</v>
      </c>
      <c r="AZ72" s="54" t="s">
        <v>377</v>
      </c>
      <c r="BA72" s="54"/>
      <c r="BB72" s="57"/>
      <c r="BC72" s="56"/>
      <c r="BD72" s="57"/>
      <c r="BE72" s="57">
        <f t="shared" si="10"/>
        <v>0</v>
      </c>
      <c r="BF72" s="57">
        <v>18328.723532255197</v>
      </c>
      <c r="BG72" s="57">
        <v>17971</v>
      </c>
      <c r="BH72" s="57">
        <v>18460.748555565304</v>
      </c>
      <c r="BI72" s="57">
        <v>16215</v>
      </c>
      <c r="BJ72" s="57">
        <v>14083</v>
      </c>
      <c r="BK72" s="57">
        <v>18673.435906920888</v>
      </c>
      <c r="BL72" s="56">
        <v>10285</v>
      </c>
      <c r="BM72" s="56">
        <v>13993</v>
      </c>
      <c r="BN72" s="56">
        <v>11855</v>
      </c>
      <c r="BO72" s="56">
        <v>13734</v>
      </c>
      <c r="BP72" s="56">
        <v>9851</v>
      </c>
      <c r="BQ72" s="56">
        <v>10675</v>
      </c>
      <c r="BR72" s="56">
        <v>9561.9895545194486</v>
      </c>
      <c r="BS72" s="56">
        <v>8264.73201942171</v>
      </c>
      <c r="BT72" s="57"/>
      <c r="BU72" s="46" t="s">
        <v>375</v>
      </c>
    </row>
    <row r="73" spans="1:73">
      <c r="A73" s="45" t="s">
        <v>374</v>
      </c>
      <c r="B73" s="46" t="s">
        <v>204</v>
      </c>
      <c r="C73" s="59"/>
      <c r="D73" s="59"/>
      <c r="E73" s="60"/>
      <c r="F73" s="60"/>
      <c r="G73" s="60"/>
      <c r="H73" s="60"/>
      <c r="I73" s="60">
        <v>177433.61</v>
      </c>
      <c r="J73" s="60">
        <v>6.1</v>
      </c>
      <c r="K73" s="60"/>
      <c r="L73" s="60"/>
      <c r="M73" s="60"/>
      <c r="N73" s="60"/>
      <c r="O73" s="60"/>
      <c r="P73" s="60"/>
      <c r="Q73" s="60">
        <v>322.52999999999997</v>
      </c>
      <c r="R73" s="60"/>
      <c r="S73" s="60">
        <v>450</v>
      </c>
      <c r="T73" s="60">
        <v>500.21</v>
      </c>
      <c r="U73" s="60"/>
      <c r="V73" s="60">
        <v>225</v>
      </c>
      <c r="W73" s="60"/>
      <c r="X73" s="60"/>
      <c r="Y73" s="60"/>
      <c r="Z73" s="60">
        <v>18669.97</v>
      </c>
      <c r="AA73" s="60"/>
      <c r="AB73" s="60"/>
      <c r="AC73" s="60"/>
      <c r="AD73" s="60">
        <v>3658.54</v>
      </c>
      <c r="AE73" s="60"/>
      <c r="AF73" s="60"/>
      <c r="AG73" s="60"/>
      <c r="AH73" s="60"/>
      <c r="AI73" s="49">
        <f t="shared" si="14"/>
        <v>201265.96</v>
      </c>
      <c r="AJ73" s="50">
        <f t="shared" si="15"/>
        <v>39585.589999999967</v>
      </c>
      <c r="AK73" s="51">
        <f>'[2]12-13 for 14-15 Asmt (updated)'!AI73</f>
        <v>161680.37000000002</v>
      </c>
      <c r="AL73" s="48">
        <f>191.51+11284.08+719.15+1309.4</f>
        <v>13504.14</v>
      </c>
      <c r="AM73" s="48">
        <v>3658.54</v>
      </c>
      <c r="AN73" s="60" t="s">
        <v>378</v>
      </c>
      <c r="AO73" s="48"/>
      <c r="AP73" s="48"/>
      <c r="AQ73" s="48">
        <v>23445.81</v>
      </c>
      <c r="AR73" s="52">
        <f t="shared" si="16"/>
        <v>0.11649168095787286</v>
      </c>
      <c r="AS73" s="51">
        <f>'[1]08-09 for 10-11 Asmt'!AQ73</f>
        <v>44094.15</v>
      </c>
      <c r="AT73" s="51">
        <f t="shared" si="17"/>
        <v>40608.490000000005</v>
      </c>
      <c r="AU73" s="50">
        <f t="shared" si="11"/>
        <v>-19855.129999999997</v>
      </c>
      <c r="AV73" s="51">
        <f>'[1]08-09 for 10-11 Asmt'!AT73</f>
        <v>60463.62</v>
      </c>
      <c r="AW73" s="48">
        <f t="shared" si="12"/>
        <v>160657.46999999997</v>
      </c>
      <c r="AX73" s="50">
        <f t="shared" si="13"/>
        <v>35639.219999999958</v>
      </c>
      <c r="AY73" s="51">
        <f>'[1]10-11 for 12-13 Asmt'!AW73</f>
        <v>125018.25000000001</v>
      </c>
      <c r="AZ73" s="60"/>
      <c r="BA73" s="60"/>
      <c r="BB73" s="64"/>
      <c r="BC73" s="63"/>
      <c r="BD73" s="64"/>
      <c r="BE73" s="64">
        <f t="shared" si="10"/>
        <v>0</v>
      </c>
      <c r="BF73" s="64">
        <v>17383.836356213636</v>
      </c>
      <c r="BG73" s="64">
        <v>20928</v>
      </c>
      <c r="BH73" s="64">
        <v>20584.569882139334</v>
      </c>
      <c r="BI73" s="64">
        <v>18802</v>
      </c>
      <c r="BJ73" s="64">
        <v>15602</v>
      </c>
      <c r="BK73" s="64">
        <v>18595.80484369686</v>
      </c>
      <c r="BL73" s="63">
        <v>14972</v>
      </c>
      <c r="BM73" s="63">
        <v>15596</v>
      </c>
      <c r="BN73" s="63">
        <v>15488</v>
      </c>
      <c r="BO73" s="63">
        <v>13787</v>
      </c>
      <c r="BP73" s="63">
        <v>14256</v>
      </c>
      <c r="BQ73" s="63">
        <v>12272</v>
      </c>
      <c r="BR73" s="63">
        <v>13719.849274365215</v>
      </c>
      <c r="BS73" s="63">
        <v>10626.667006073014</v>
      </c>
      <c r="BT73" s="64"/>
      <c r="BU73" s="65" t="s">
        <v>204</v>
      </c>
    </row>
    <row r="74" spans="1:73" s="58" customFormat="1" ht="112.5">
      <c r="A74" s="45" t="s">
        <v>379</v>
      </c>
      <c r="B74" s="46" t="s">
        <v>380</v>
      </c>
      <c r="C74" s="47"/>
      <c r="D74" s="47">
        <v>15233.34</v>
      </c>
      <c r="E74" s="48"/>
      <c r="F74" s="48"/>
      <c r="G74" s="48"/>
      <c r="H74" s="48"/>
      <c r="I74" s="48">
        <v>757161.36</v>
      </c>
      <c r="J74" s="48"/>
      <c r="K74" s="48"/>
      <c r="L74" s="48"/>
      <c r="M74" s="48"/>
      <c r="N74" s="48"/>
      <c r="O74" s="48"/>
      <c r="P74" s="48">
        <f>15634.54+8762.54</f>
        <v>24397.08</v>
      </c>
      <c r="Q74" s="48"/>
      <c r="R74" s="48"/>
      <c r="S74" s="48">
        <f>300+1200+675</f>
        <v>2175</v>
      </c>
      <c r="T74" s="48"/>
      <c r="U74" s="48"/>
      <c r="V74" s="48">
        <v>166.88</v>
      </c>
      <c r="W74" s="48">
        <v>4344.45</v>
      </c>
      <c r="X74" s="48">
        <f>70451.8+326605.78</f>
        <v>397057.58</v>
      </c>
      <c r="Y74" s="48"/>
      <c r="Z74" s="48"/>
      <c r="AA74" s="48"/>
      <c r="AB74" s="48"/>
      <c r="AC74" s="48"/>
      <c r="AD74" s="48">
        <f>1890+7654.26+10852.48</f>
        <v>20396.739999999998</v>
      </c>
      <c r="AE74" s="48"/>
      <c r="AF74" s="48"/>
      <c r="AG74" s="48"/>
      <c r="AH74" s="48"/>
      <c r="AI74" s="49">
        <f t="shared" si="14"/>
        <v>1220932.43</v>
      </c>
      <c r="AJ74" s="50">
        <f t="shared" si="15"/>
        <v>349028.34000000008</v>
      </c>
      <c r="AK74" s="51">
        <f>'[2]12-13 for 14-15 Asmt (updated)'!AI74</f>
        <v>871904.08999999985</v>
      </c>
      <c r="AL74" s="48">
        <v>30304.41</v>
      </c>
      <c r="AM74" s="48">
        <f>10852.48+15233.34+15634.54</f>
        <v>41720.36</v>
      </c>
      <c r="AN74" s="48" t="s">
        <v>381</v>
      </c>
      <c r="AO74" s="48">
        <f>70451.8+326605.78</f>
        <v>397057.58</v>
      </c>
      <c r="AP74" s="48"/>
      <c r="AQ74" s="48">
        <v>158790.48000000001</v>
      </c>
      <c r="AR74" s="52">
        <f t="shared" si="16"/>
        <v>0.13005673049408642</v>
      </c>
      <c r="AS74" s="51">
        <f>'[1]08-09 for 10-11 Asmt'!AQ74</f>
        <v>252109.81</v>
      </c>
      <c r="AT74" s="51">
        <f t="shared" si="17"/>
        <v>627872.83000000007</v>
      </c>
      <c r="AU74" s="50">
        <f t="shared" si="11"/>
        <v>159215.87000000011</v>
      </c>
      <c r="AV74" s="51">
        <f>'[1]08-09 for 10-11 Asmt'!AT74</f>
        <v>468656.95999999996</v>
      </c>
      <c r="AW74" s="48">
        <f t="shared" si="12"/>
        <v>593059.59999999986</v>
      </c>
      <c r="AX74" s="50">
        <f t="shared" si="13"/>
        <v>76164.129999999888</v>
      </c>
      <c r="AY74" s="51">
        <f>'[1]10-11 for 12-13 Asmt'!AW74</f>
        <v>516895.47</v>
      </c>
      <c r="AZ74" s="54"/>
      <c r="BA74" s="54" t="s">
        <v>382</v>
      </c>
      <c r="BB74" s="57"/>
      <c r="BC74" s="56"/>
      <c r="BD74" s="57"/>
      <c r="BE74" s="57">
        <f t="shared" si="10"/>
        <v>0</v>
      </c>
      <c r="BF74" s="57">
        <v>91858.558507774855</v>
      </c>
      <c r="BG74" s="57">
        <v>69668</v>
      </c>
      <c r="BH74" s="57">
        <v>81417.509305159867</v>
      </c>
      <c r="BI74" s="57">
        <v>78578</v>
      </c>
      <c r="BJ74" s="57">
        <v>54689</v>
      </c>
      <c r="BK74" s="57">
        <v>49878.503845836996</v>
      </c>
      <c r="BL74" s="56">
        <v>59685</v>
      </c>
      <c r="BM74" s="56">
        <v>51019</v>
      </c>
      <c r="BN74" s="56">
        <v>46896</v>
      </c>
      <c r="BO74" s="56">
        <v>41350</v>
      </c>
      <c r="BP74" s="56">
        <v>35295</v>
      </c>
      <c r="BQ74" s="56">
        <v>37290</v>
      </c>
      <c r="BR74" s="56">
        <v>37550.289846017396</v>
      </c>
      <c r="BS74" s="56">
        <v>29869.061222925695</v>
      </c>
      <c r="BT74" s="57"/>
      <c r="BU74" s="46" t="s">
        <v>383</v>
      </c>
    </row>
    <row r="75" spans="1:73" ht="22.5">
      <c r="A75" s="45" t="s">
        <v>384</v>
      </c>
      <c r="B75" s="46" t="s">
        <v>385</v>
      </c>
      <c r="C75" s="59"/>
      <c r="D75" s="59"/>
      <c r="E75" s="60"/>
      <c r="F75" s="60"/>
      <c r="G75" s="60"/>
      <c r="H75" s="60"/>
      <c r="I75" s="60">
        <v>179290.03</v>
      </c>
      <c r="J75" s="60"/>
      <c r="K75" s="60"/>
      <c r="L75" s="60"/>
      <c r="M75" s="60"/>
      <c r="N75" s="60"/>
      <c r="O75" s="60"/>
      <c r="P75" s="60"/>
      <c r="Q75" s="60">
        <v>42.02</v>
      </c>
      <c r="R75" s="60"/>
      <c r="S75" s="60"/>
      <c r="T75" s="60"/>
      <c r="U75" s="60"/>
      <c r="V75" s="60"/>
      <c r="W75" s="60"/>
      <c r="X75" s="60"/>
      <c r="Y75" s="60"/>
      <c r="Z75" s="60"/>
      <c r="AA75" s="60"/>
      <c r="AB75" s="60"/>
      <c r="AC75" s="60"/>
      <c r="AD75" s="60">
        <f>572.76+20+349.74+145.15</f>
        <v>1087.6500000000001</v>
      </c>
      <c r="AE75" s="60"/>
      <c r="AF75" s="60"/>
      <c r="AG75" s="60"/>
      <c r="AH75" s="60">
        <v>777</v>
      </c>
      <c r="AI75" s="49">
        <f t="shared" si="14"/>
        <v>181196.69999999998</v>
      </c>
      <c r="AJ75" s="50">
        <f t="shared" si="15"/>
        <v>5662.0500000000175</v>
      </c>
      <c r="AK75" s="51">
        <f>'[2]12-13 for 14-15 Asmt (updated)'!AI75</f>
        <v>175534.64999999997</v>
      </c>
      <c r="AL75" s="48">
        <v>24574.83</v>
      </c>
      <c r="AM75" s="48"/>
      <c r="AN75" s="75"/>
      <c r="AO75" s="48"/>
      <c r="AP75" s="48"/>
      <c r="AQ75" s="48"/>
      <c r="AR75" s="52">
        <f t="shared" si="16"/>
        <v>0</v>
      </c>
      <c r="AS75" s="51" t="e">
        <f>'[1]08-09 for 10-11 Asmt'!AQ75</f>
        <v>#REF!</v>
      </c>
      <c r="AT75" s="51">
        <f t="shared" si="17"/>
        <v>24574.83</v>
      </c>
      <c r="AU75" s="50">
        <f t="shared" si="11"/>
        <v>6729.77</v>
      </c>
      <c r="AV75" s="51">
        <f>'[1]08-09 for 10-11 Asmt'!AT75</f>
        <v>17845.060000000001</v>
      </c>
      <c r="AW75" s="48">
        <f t="shared" si="12"/>
        <v>156621.87</v>
      </c>
      <c r="AX75" s="50">
        <f t="shared" si="13"/>
        <v>9003.1900000000023</v>
      </c>
      <c r="AY75" s="51">
        <f>'[1]10-11 for 12-13 Asmt'!AW75</f>
        <v>147618.68</v>
      </c>
      <c r="AZ75" s="61"/>
      <c r="BA75" s="61" t="s">
        <v>386</v>
      </c>
      <c r="BB75" s="64"/>
      <c r="BC75" s="63"/>
      <c r="BD75" s="64"/>
      <c r="BE75" s="64">
        <f t="shared" si="10"/>
        <v>0</v>
      </c>
      <c r="BF75" s="64">
        <v>26366.753821129965</v>
      </c>
      <c r="BG75" s="64">
        <v>21907</v>
      </c>
      <c r="BH75" s="64">
        <v>21181.854466458579</v>
      </c>
      <c r="BI75" s="64">
        <v>18355</v>
      </c>
      <c r="BJ75" s="64">
        <v>14861</v>
      </c>
      <c r="BK75" s="64">
        <v>14091</v>
      </c>
      <c r="BL75" s="63">
        <v>14856</v>
      </c>
      <c r="BM75" s="63">
        <v>11933</v>
      </c>
      <c r="BN75" s="63">
        <v>14366</v>
      </c>
      <c r="BO75" s="63">
        <v>26206</v>
      </c>
      <c r="BP75" s="63">
        <v>11058</v>
      </c>
      <c r="BQ75" s="63">
        <v>10823</v>
      </c>
      <c r="BR75" s="63">
        <v>9869.3407163824959</v>
      </c>
      <c r="BS75" s="63">
        <v>8985.4799413491273</v>
      </c>
      <c r="BT75" s="64"/>
      <c r="BU75" s="65" t="s">
        <v>385</v>
      </c>
    </row>
    <row r="76" spans="1:73">
      <c r="A76" s="45" t="s">
        <v>384</v>
      </c>
      <c r="B76" s="46" t="s">
        <v>136</v>
      </c>
      <c r="C76" s="59"/>
      <c r="D76" s="59"/>
      <c r="E76" s="60"/>
      <c r="F76" s="60"/>
      <c r="G76" s="60"/>
      <c r="H76" s="60"/>
      <c r="I76" s="60">
        <v>608428.92000000004</v>
      </c>
      <c r="J76" s="60"/>
      <c r="K76" s="60">
        <v>7333.44</v>
      </c>
      <c r="L76" s="60"/>
      <c r="M76" s="60"/>
      <c r="N76" s="48"/>
      <c r="O76" s="60"/>
      <c r="P76" s="60"/>
      <c r="Q76" s="60">
        <v>71.88</v>
      </c>
      <c r="R76" s="60"/>
      <c r="S76" s="60">
        <v>5802.56</v>
      </c>
      <c r="T76" s="60"/>
      <c r="U76" s="60"/>
      <c r="V76" s="60">
        <v>4625</v>
      </c>
      <c r="W76" s="60"/>
      <c r="X76" s="60">
        <v>24672.959999999999</v>
      </c>
      <c r="Y76" s="60"/>
      <c r="Z76" s="60"/>
      <c r="AA76" s="60"/>
      <c r="AB76" s="60"/>
      <c r="AC76" s="60"/>
      <c r="AD76" s="60">
        <v>329.67</v>
      </c>
      <c r="AE76" s="60">
        <v>495804.11</v>
      </c>
      <c r="AF76" s="60">
        <f>46425.25+9154</f>
        <v>55579.25</v>
      </c>
      <c r="AG76" s="60"/>
      <c r="AH76" s="60">
        <f>11837+13024+20975+36+1500+16817.9+45</f>
        <v>64234.9</v>
      </c>
      <c r="AI76" s="49">
        <f t="shared" si="14"/>
        <v>1266882.69</v>
      </c>
      <c r="AJ76" s="50">
        <f t="shared" si="15"/>
        <v>-132683.71999999997</v>
      </c>
      <c r="AK76" s="51">
        <f>'[2]12-13 for 14-15 Asmt (updated)'!AI76</f>
        <v>1399566.41</v>
      </c>
      <c r="AL76" s="48">
        <v>62832</v>
      </c>
      <c r="AM76" s="48">
        <f>72080.72+495804</f>
        <v>567884.72</v>
      </c>
      <c r="AN76" s="60" t="s">
        <v>387</v>
      </c>
      <c r="AO76" s="48"/>
      <c r="AP76" s="48"/>
      <c r="AQ76" s="48">
        <v>194098.21</v>
      </c>
      <c r="AR76" s="52">
        <f t="shared" si="16"/>
        <v>0.15320929990763391</v>
      </c>
      <c r="AS76" s="51">
        <f>'[1]08-09 for 10-11 Asmt'!AQ76</f>
        <v>327365.03999999998</v>
      </c>
      <c r="AT76" s="51">
        <f t="shared" si="17"/>
        <v>824814.92999999993</v>
      </c>
      <c r="AU76" s="50">
        <f t="shared" si="11"/>
        <v>-147569.68000000017</v>
      </c>
      <c r="AV76" s="51">
        <f>'[1]08-09 for 10-11 Asmt'!AT76</f>
        <v>972384.6100000001</v>
      </c>
      <c r="AW76" s="48">
        <f t="shared" si="12"/>
        <v>442067.76</v>
      </c>
      <c r="AX76" s="50">
        <f t="shared" si="13"/>
        <v>29707.269999999553</v>
      </c>
      <c r="AY76" s="51">
        <f>'[1]10-11 for 12-13 Asmt'!AW76</f>
        <v>412360.49000000046</v>
      </c>
      <c r="AZ76" s="60"/>
      <c r="BA76" s="61"/>
      <c r="BB76" s="64"/>
      <c r="BC76" s="63"/>
      <c r="BD76" s="64"/>
      <c r="BE76" s="64">
        <f t="shared" si="10"/>
        <v>0</v>
      </c>
      <c r="BF76" s="64">
        <v>62246.389197434197</v>
      </c>
      <c r="BG76" s="64">
        <v>59894</v>
      </c>
      <c r="BH76" s="64">
        <v>52416.473485218696</v>
      </c>
      <c r="BI76" s="64">
        <v>53055</v>
      </c>
      <c r="BJ76" s="64">
        <v>33998</v>
      </c>
      <c r="BK76" s="64">
        <v>37572</v>
      </c>
      <c r="BL76" s="63">
        <v>41859</v>
      </c>
      <c r="BM76" s="63">
        <v>35123</v>
      </c>
      <c r="BN76" s="63">
        <v>32529</v>
      </c>
      <c r="BO76" s="63">
        <v>11748</v>
      </c>
      <c r="BP76" s="63">
        <v>22279</v>
      </c>
      <c r="BQ76" s="63">
        <v>20518</v>
      </c>
      <c r="BR76" s="63">
        <v>20723.398460937566</v>
      </c>
      <c r="BS76" s="63">
        <v>19617</v>
      </c>
      <c r="BT76" s="64"/>
      <c r="BU76" s="65" t="s">
        <v>388</v>
      </c>
    </row>
    <row r="77" spans="1:73" ht="12" customHeight="1">
      <c r="A77" s="45" t="s">
        <v>389</v>
      </c>
      <c r="B77" s="46" t="s">
        <v>390</v>
      </c>
      <c r="C77" s="59"/>
      <c r="D77" s="59"/>
      <c r="E77" s="60"/>
      <c r="F77" s="60"/>
      <c r="G77" s="60"/>
      <c r="H77" s="60"/>
      <c r="I77" s="60">
        <v>471431.31</v>
      </c>
      <c r="J77" s="60"/>
      <c r="K77" s="60">
        <v>8613.6299999999992</v>
      </c>
      <c r="L77" s="60">
        <v>16044.43</v>
      </c>
      <c r="M77" s="60"/>
      <c r="N77" s="60"/>
      <c r="O77" s="60"/>
      <c r="P77" s="60"/>
      <c r="Q77" s="60">
        <v>202.8</v>
      </c>
      <c r="R77" s="60">
        <v>2102.38</v>
      </c>
      <c r="S77" s="60">
        <v>876.6</v>
      </c>
      <c r="T77" s="60">
        <v>1950</v>
      </c>
      <c r="U77" s="60"/>
      <c r="V77" s="60"/>
      <c r="W77" s="60"/>
      <c r="X77" s="60"/>
      <c r="Y77" s="60"/>
      <c r="Z77" s="60"/>
      <c r="AA77" s="60"/>
      <c r="AB77" s="60"/>
      <c r="AC77" s="60"/>
      <c r="AD77" s="60">
        <v>883</v>
      </c>
      <c r="AE77" s="60"/>
      <c r="AF77" s="60">
        <v>34997.449999999997</v>
      </c>
      <c r="AG77" s="60"/>
      <c r="AH77" s="60"/>
      <c r="AI77" s="49">
        <f t="shared" si="14"/>
        <v>537101.6</v>
      </c>
      <c r="AJ77" s="50">
        <f t="shared" si="15"/>
        <v>5626.2399999998743</v>
      </c>
      <c r="AK77" s="51">
        <f>'[2]12-13 for 14-15 Asmt (updated)'!AI77</f>
        <v>531475.3600000001</v>
      </c>
      <c r="AL77" s="48">
        <v>27353.56</v>
      </c>
      <c r="AM77" s="48">
        <f>13510.86+8613.63+1950+16044.43</f>
        <v>40118.92</v>
      </c>
      <c r="AN77" s="60" t="s">
        <v>391</v>
      </c>
      <c r="AO77" s="48"/>
      <c r="AP77" s="48"/>
      <c r="AQ77" s="48">
        <v>182428.68</v>
      </c>
      <c r="AR77" s="52">
        <f t="shared" si="16"/>
        <v>0.33965395001616083</v>
      </c>
      <c r="AS77" s="51">
        <f>'[1]08-09 for 10-11 Asmt'!AQ77</f>
        <v>183007.11</v>
      </c>
      <c r="AT77" s="51">
        <f t="shared" si="17"/>
        <v>249901.15999999997</v>
      </c>
      <c r="AU77" s="50">
        <f t="shared" si="11"/>
        <v>1458.9599999999919</v>
      </c>
      <c r="AV77" s="51">
        <f>'[1]08-09 for 10-11 Asmt'!AT77</f>
        <v>248442.19999999998</v>
      </c>
      <c r="AW77" s="48">
        <f t="shared" si="12"/>
        <v>287200.44</v>
      </c>
      <c r="AX77" s="50">
        <f t="shared" si="13"/>
        <v>31437.420000000042</v>
      </c>
      <c r="AY77" s="51">
        <f>'[1]10-11 for 12-13 Asmt'!AW77</f>
        <v>255763.01999999996</v>
      </c>
      <c r="AZ77" s="61"/>
      <c r="BA77" s="60"/>
      <c r="BB77" s="64"/>
      <c r="BC77" s="63"/>
      <c r="BD77" s="64"/>
      <c r="BE77" s="64">
        <f t="shared" si="10"/>
        <v>0</v>
      </c>
      <c r="BF77" s="64">
        <v>39764.477883602711</v>
      </c>
      <c r="BG77" s="64">
        <v>34247</v>
      </c>
      <c r="BH77" s="64">
        <v>30550.854439719977</v>
      </c>
      <c r="BI77" s="64">
        <v>29531</v>
      </c>
      <c r="BJ77" s="64">
        <v>24932</v>
      </c>
      <c r="BK77" s="64">
        <v>28941.161086072279</v>
      </c>
      <c r="BL77" s="63">
        <v>24831</v>
      </c>
      <c r="BM77" s="63">
        <v>20192</v>
      </c>
      <c r="BN77" s="63">
        <v>18966</v>
      </c>
      <c r="BO77" s="63">
        <v>17401</v>
      </c>
      <c r="BP77" s="63">
        <v>18518</v>
      </c>
      <c r="BQ77" s="63">
        <v>14766</v>
      </c>
      <c r="BR77" s="63">
        <v>17313.199727858162</v>
      </c>
      <c r="BS77" s="63">
        <v>18602.904877707086</v>
      </c>
      <c r="BT77" s="64"/>
      <c r="BU77" s="65" t="s">
        <v>390</v>
      </c>
    </row>
    <row r="78" spans="1:73" ht="12" customHeight="1">
      <c r="A78" s="45" t="s">
        <v>392</v>
      </c>
      <c r="B78" s="46" t="s">
        <v>393</v>
      </c>
      <c r="C78" s="59"/>
      <c r="D78" s="59"/>
      <c r="E78" s="60">
        <v>87.34</v>
      </c>
      <c r="F78" s="60"/>
      <c r="G78" s="60"/>
      <c r="H78" s="60"/>
      <c r="I78" s="60">
        <v>151522.67000000001</v>
      </c>
      <c r="J78" s="60"/>
      <c r="K78" s="60">
        <v>1965.22</v>
      </c>
      <c r="L78" s="60">
        <v>4900.01</v>
      </c>
      <c r="M78" s="60"/>
      <c r="N78" s="60"/>
      <c r="O78" s="60"/>
      <c r="P78" s="60"/>
      <c r="Q78" s="60">
        <v>15.11</v>
      </c>
      <c r="R78" s="60"/>
      <c r="S78" s="60"/>
      <c r="T78" s="60"/>
      <c r="U78" s="60"/>
      <c r="V78" s="60">
        <v>100</v>
      </c>
      <c r="W78" s="60"/>
      <c r="X78" s="60">
        <v>39527</v>
      </c>
      <c r="Y78" s="60"/>
      <c r="Z78" s="60"/>
      <c r="AA78" s="60"/>
      <c r="AB78" s="60"/>
      <c r="AC78" s="60"/>
      <c r="AD78" s="60">
        <f>214</f>
        <v>214</v>
      </c>
      <c r="AE78" s="60"/>
      <c r="AF78" s="60"/>
      <c r="AG78" s="60"/>
      <c r="AH78" s="60">
        <v>50</v>
      </c>
      <c r="AI78" s="49">
        <f t="shared" si="14"/>
        <v>198381.35</v>
      </c>
      <c r="AJ78" s="50">
        <f t="shared" si="15"/>
        <v>23023.74000000002</v>
      </c>
      <c r="AK78" s="51">
        <f>'[2]12-13 for 14-15 Asmt (updated)'!AI78</f>
        <v>175357.61</v>
      </c>
      <c r="AL78" s="48">
        <v>18367.189999999999</v>
      </c>
      <c r="AM78" s="48">
        <f>41.1+1965.22+4900.01</f>
        <v>6906.33</v>
      </c>
      <c r="AN78" s="60" t="s">
        <v>394</v>
      </c>
      <c r="AO78" s="48">
        <v>39527</v>
      </c>
      <c r="AP78" s="48"/>
      <c r="AQ78" s="48">
        <v>12000</v>
      </c>
      <c r="AR78" s="52">
        <f t="shared" si="16"/>
        <v>6.0489557108064841E-2</v>
      </c>
      <c r="AS78" s="51">
        <f>'[1]08-09 for 10-11 Asmt'!AQ78</f>
        <v>39482.5</v>
      </c>
      <c r="AT78" s="51">
        <f t="shared" si="17"/>
        <v>76800.51999999999</v>
      </c>
      <c r="AU78" s="50">
        <f t="shared" si="11"/>
        <v>-189144.54</v>
      </c>
      <c r="AV78" s="51">
        <f>'[1]08-09 for 10-11 Asmt'!AT78</f>
        <v>265945.06</v>
      </c>
      <c r="AW78" s="48">
        <f t="shared" si="12"/>
        <v>121580.83000000002</v>
      </c>
      <c r="AX78" s="50">
        <f t="shared" si="13"/>
        <v>28061.650000000038</v>
      </c>
      <c r="AY78" s="51">
        <f>'[1]10-11 for 12-13 Asmt'!AW78</f>
        <v>93519.179999999978</v>
      </c>
      <c r="AZ78" s="60"/>
      <c r="BA78" s="61"/>
      <c r="BB78" s="64"/>
      <c r="BC78" s="63"/>
      <c r="BD78" s="64"/>
      <c r="BE78" s="64">
        <f t="shared" si="10"/>
        <v>0</v>
      </c>
      <c r="BF78" s="64">
        <v>18081.935378794107</v>
      </c>
      <c r="BG78" s="64">
        <v>17998</v>
      </c>
      <c r="BH78" s="64">
        <v>16399.281087145398</v>
      </c>
      <c r="BI78" s="64">
        <v>14423</v>
      </c>
      <c r="BJ78" s="64">
        <v>13298</v>
      </c>
      <c r="BK78" s="64">
        <v>12307.15163551176</v>
      </c>
      <c r="BL78" s="63">
        <v>12564</v>
      </c>
      <c r="BM78" s="63">
        <v>11929</v>
      </c>
      <c r="BN78" s="63">
        <v>10700</v>
      </c>
      <c r="BO78" s="63">
        <v>12834</v>
      </c>
      <c r="BP78" s="63">
        <v>9930</v>
      </c>
      <c r="BQ78" s="63">
        <v>8286</v>
      </c>
      <c r="BR78" s="63">
        <v>8316.4621842992547</v>
      </c>
      <c r="BS78" s="63">
        <v>9010.7625585764181</v>
      </c>
      <c r="BT78" s="64"/>
      <c r="BU78" s="65" t="s">
        <v>395</v>
      </c>
    </row>
    <row r="79" spans="1:73" ht="22.5">
      <c r="A79" s="45" t="s">
        <v>396</v>
      </c>
      <c r="B79" s="46" t="s">
        <v>397</v>
      </c>
      <c r="C79" s="59"/>
      <c r="D79" s="59"/>
      <c r="E79" s="60"/>
      <c r="F79" s="60"/>
      <c r="G79" s="60"/>
      <c r="H79" s="60"/>
      <c r="I79" s="60">
        <v>122363.48</v>
      </c>
      <c r="J79" s="60"/>
      <c r="K79" s="60"/>
      <c r="L79" s="60"/>
      <c r="M79" s="60"/>
      <c r="N79" s="60"/>
      <c r="O79" s="60"/>
      <c r="P79" s="60"/>
      <c r="Q79" s="60"/>
      <c r="R79" s="60"/>
      <c r="S79" s="60">
        <v>2870.07</v>
      </c>
      <c r="T79" s="60">
        <v>658</v>
      </c>
      <c r="U79" s="60">
        <v>874.25</v>
      </c>
      <c r="V79" s="60">
        <v>100</v>
      </c>
      <c r="W79" s="60"/>
      <c r="X79" s="60">
        <v>46707.74</v>
      </c>
      <c r="Y79" s="60"/>
      <c r="Z79" s="60"/>
      <c r="AA79" s="60"/>
      <c r="AB79" s="60"/>
      <c r="AC79" s="60"/>
      <c r="AD79" s="60">
        <v>5896</v>
      </c>
      <c r="AE79" s="60"/>
      <c r="AF79" s="60"/>
      <c r="AG79" s="60"/>
      <c r="AH79" s="60"/>
      <c r="AI79" s="49">
        <f t="shared" si="14"/>
        <v>179469.54</v>
      </c>
      <c r="AJ79" s="50">
        <f t="shared" si="15"/>
        <v>2009.109999999986</v>
      </c>
      <c r="AK79" s="51">
        <f>'[2]12-13 for 14-15 Asmt (updated)'!AI79</f>
        <v>177460.43000000002</v>
      </c>
      <c r="AL79" s="48">
        <f>4606.39+301.5</f>
        <v>4907.8900000000003</v>
      </c>
      <c r="AM79" s="48">
        <f>874.25+658</f>
        <v>1532.25</v>
      </c>
      <c r="AN79" s="60" t="s">
        <v>398</v>
      </c>
      <c r="AO79" s="48">
        <v>46707.74</v>
      </c>
      <c r="AP79" s="48"/>
      <c r="AQ79" s="48"/>
      <c r="AR79" s="52">
        <f t="shared" si="16"/>
        <v>0</v>
      </c>
      <c r="AS79" s="51" t="e">
        <f>'[1]08-09 for 10-11 Asmt'!AQ79</f>
        <v>#REF!</v>
      </c>
      <c r="AT79" s="51">
        <f t="shared" si="17"/>
        <v>53147.88</v>
      </c>
      <c r="AU79" s="50">
        <f t="shared" si="11"/>
        <v>-3040.3099999999977</v>
      </c>
      <c r="AV79" s="51">
        <f>'[1]08-09 for 10-11 Asmt'!AT79</f>
        <v>56188.189999999995</v>
      </c>
      <c r="AW79" s="48">
        <f t="shared" si="12"/>
        <v>126321.66</v>
      </c>
      <c r="AX79" s="50">
        <f t="shared" si="13"/>
        <v>12972.930000000037</v>
      </c>
      <c r="AY79" s="51">
        <f>'[1]10-11 for 12-13 Asmt'!AW79</f>
        <v>113348.72999999997</v>
      </c>
      <c r="AZ79" s="60"/>
      <c r="BA79" s="61" t="s">
        <v>399</v>
      </c>
      <c r="BB79" s="64"/>
      <c r="BC79" s="63"/>
      <c r="BD79" s="64"/>
      <c r="BE79" s="64">
        <f t="shared" si="10"/>
        <v>0</v>
      </c>
      <c r="BF79" s="64">
        <v>15243.348132952651</v>
      </c>
      <c r="BG79" s="64">
        <v>15216</v>
      </c>
      <c r="BH79" s="64">
        <v>13566.331344814391</v>
      </c>
      <c r="BI79" s="64">
        <v>12389</v>
      </c>
      <c r="BJ79" s="64">
        <v>11080</v>
      </c>
      <c r="BK79" s="64">
        <v>10293.536943864126</v>
      </c>
      <c r="BL79" s="63">
        <v>10375</v>
      </c>
      <c r="BM79" s="63">
        <v>10074</v>
      </c>
      <c r="BN79" s="63">
        <v>8987</v>
      </c>
      <c r="BO79" s="63">
        <v>7217</v>
      </c>
      <c r="BP79" s="63">
        <v>6068</v>
      </c>
      <c r="BQ79" s="63">
        <v>5334</v>
      </c>
      <c r="BR79" s="63">
        <v>3518.8976848263292</v>
      </c>
      <c r="BS79" s="63">
        <v>3751.9832462751824</v>
      </c>
      <c r="BT79" s="64"/>
      <c r="BU79" s="65" t="s">
        <v>397</v>
      </c>
    </row>
    <row r="80" spans="1:73" s="58" customFormat="1" ht="45">
      <c r="A80" s="45" t="s">
        <v>400</v>
      </c>
      <c r="B80" s="46" t="s">
        <v>401</v>
      </c>
      <c r="C80" s="47"/>
      <c r="D80" s="47"/>
      <c r="E80" s="48"/>
      <c r="F80" s="48"/>
      <c r="G80" s="48"/>
      <c r="H80" s="48"/>
      <c r="I80" s="48">
        <f>164446.91-9212</f>
        <v>155234.91</v>
      </c>
      <c r="J80" s="48"/>
      <c r="K80" s="48">
        <f>315+9212</f>
        <v>9527</v>
      </c>
      <c r="L80" s="48"/>
      <c r="M80" s="48"/>
      <c r="N80" s="48"/>
      <c r="O80" s="48"/>
      <c r="P80" s="48"/>
      <c r="Q80" s="48">
        <v>2799.18</v>
      </c>
      <c r="R80" s="48"/>
      <c r="S80" s="48"/>
      <c r="T80" s="48"/>
      <c r="U80" s="48"/>
      <c r="V80" s="48">
        <v>20</v>
      </c>
      <c r="W80" s="48"/>
      <c r="X80" s="48"/>
      <c r="Y80" s="48"/>
      <c r="Z80" s="48"/>
      <c r="AA80" s="48"/>
      <c r="AB80" s="48">
        <f>1235+57</f>
        <v>1292</v>
      </c>
      <c r="AC80" s="48"/>
      <c r="AD80" s="48">
        <f>155</f>
        <v>155</v>
      </c>
      <c r="AE80" s="48"/>
      <c r="AF80" s="48"/>
      <c r="AG80" s="48"/>
      <c r="AH80" s="48"/>
      <c r="AI80" s="49">
        <f t="shared" si="14"/>
        <v>169028.09</v>
      </c>
      <c r="AJ80" s="50">
        <f t="shared" si="15"/>
        <v>14364.700000000041</v>
      </c>
      <c r="AK80" s="51">
        <f>'[2]12-13 for 14-15 Asmt (updated)'!AI80</f>
        <v>154663.38999999996</v>
      </c>
      <c r="AL80" s="48">
        <v>1700.72</v>
      </c>
      <c r="AM80" s="48">
        <v>9212</v>
      </c>
      <c r="AN80" s="48" t="s">
        <v>402</v>
      </c>
      <c r="AO80" s="48"/>
      <c r="AP80" s="48"/>
      <c r="AQ80" s="48"/>
      <c r="AR80" s="52">
        <f t="shared" si="16"/>
        <v>0</v>
      </c>
      <c r="AS80" s="51" t="e">
        <f>'[1]08-09 for 10-11 Asmt'!AQ80</f>
        <v>#REF!</v>
      </c>
      <c r="AT80" s="51">
        <f t="shared" si="17"/>
        <v>10912.72</v>
      </c>
      <c r="AU80" s="50">
        <f t="shared" si="11"/>
        <v>3304.619999999999</v>
      </c>
      <c r="AV80" s="51">
        <f>'[1]08-09 for 10-11 Asmt'!AT80</f>
        <v>7608.1</v>
      </c>
      <c r="AW80" s="48">
        <f t="shared" si="12"/>
        <v>158115.37</v>
      </c>
      <c r="AX80" s="50">
        <f t="shared" si="13"/>
        <v>11895.410000000003</v>
      </c>
      <c r="AY80" s="51">
        <f>'[1]10-11 for 12-13 Asmt'!AW80</f>
        <v>146219.96</v>
      </c>
      <c r="AZ80" s="54" t="s">
        <v>403</v>
      </c>
      <c r="BA80" s="66" t="s">
        <v>404</v>
      </c>
      <c r="BB80" s="57"/>
      <c r="BC80" s="56"/>
      <c r="BD80" s="57"/>
      <c r="BE80" s="57">
        <f t="shared" si="10"/>
        <v>0</v>
      </c>
      <c r="BF80" s="57">
        <v>22861.414002998124</v>
      </c>
      <c r="BG80" s="57">
        <v>25714</v>
      </c>
      <c r="BH80" s="57">
        <v>24424.635416877092</v>
      </c>
      <c r="BI80" s="57">
        <v>20450</v>
      </c>
      <c r="BJ80" s="57">
        <v>19603</v>
      </c>
      <c r="BK80" s="57">
        <v>18095.407758905079</v>
      </c>
      <c r="BL80" s="56">
        <v>16598</v>
      </c>
      <c r="BM80" s="56">
        <v>13840</v>
      </c>
      <c r="BN80" s="56">
        <v>11497</v>
      </c>
      <c r="BO80" s="56">
        <v>11452</v>
      </c>
      <c r="BP80" s="56">
        <v>3694</v>
      </c>
      <c r="BQ80" s="56">
        <v>10501</v>
      </c>
      <c r="BR80" s="56">
        <v>6160.1282526327022</v>
      </c>
      <c r="BS80" s="56">
        <v>6469.0881050511043</v>
      </c>
      <c r="BT80" s="57"/>
      <c r="BU80" s="46" t="s">
        <v>405</v>
      </c>
    </row>
    <row r="81" spans="1:227" s="58" customFormat="1" ht="78.75">
      <c r="A81" s="45" t="s">
        <v>406</v>
      </c>
      <c r="B81" s="46" t="s">
        <v>136</v>
      </c>
      <c r="C81" s="47"/>
      <c r="D81" s="47">
        <v>6231.4</v>
      </c>
      <c r="E81" s="48"/>
      <c r="F81" s="48"/>
      <c r="G81" s="48"/>
      <c r="H81" s="48"/>
      <c r="I81" s="48">
        <v>908331</v>
      </c>
      <c r="J81" s="48"/>
      <c r="K81" s="48">
        <v>11174</v>
      </c>
      <c r="L81" s="48"/>
      <c r="M81" s="48"/>
      <c r="N81" s="48">
        <v>81</v>
      </c>
      <c r="O81" s="48"/>
      <c r="P81" s="48">
        <v>6798.74</v>
      </c>
      <c r="Q81" s="48"/>
      <c r="R81" s="48"/>
      <c r="S81" s="48">
        <v>900</v>
      </c>
      <c r="T81" s="48"/>
      <c r="U81" s="48"/>
      <c r="V81" s="48">
        <v>2945</v>
      </c>
      <c r="W81" s="48"/>
      <c r="X81" s="48"/>
      <c r="Y81" s="48"/>
      <c r="Z81" s="48"/>
      <c r="AA81" s="48"/>
      <c r="AB81" s="48"/>
      <c r="AC81" s="48"/>
      <c r="AD81" s="48">
        <f>3984+25157.14+80.15+2049.38+2473+12007.66</f>
        <v>45751.33</v>
      </c>
      <c r="AE81" s="48"/>
      <c r="AF81" s="48">
        <v>52896.93</v>
      </c>
      <c r="AG81" s="48"/>
      <c r="AH81" s="48">
        <v>4230</v>
      </c>
      <c r="AI81" s="49">
        <f t="shared" si="14"/>
        <v>1039339.4</v>
      </c>
      <c r="AJ81" s="50">
        <f t="shared" si="15"/>
        <v>-5058.3999999997905</v>
      </c>
      <c r="AK81" s="51">
        <f>'[2]12-13 for 14-15 Asmt (updated)'!AI81</f>
        <v>1044397.7999999998</v>
      </c>
      <c r="AL81" s="48">
        <v>30612.18</v>
      </c>
      <c r="AM81" s="48">
        <f>19142.21+1757.8+6231.4</f>
        <v>27131.409999999996</v>
      </c>
      <c r="AN81" s="48" t="s">
        <v>407</v>
      </c>
      <c r="AO81" s="48">
        <v>11174</v>
      </c>
      <c r="AP81" s="48"/>
      <c r="AQ81" s="48">
        <v>274313.84000000003</v>
      </c>
      <c r="AR81" s="52">
        <f t="shared" si="16"/>
        <v>0.26393095460443433</v>
      </c>
      <c r="AS81" s="51">
        <f>'[1]08-09 for 10-11 Asmt'!AQ81</f>
        <v>373000</v>
      </c>
      <c r="AT81" s="51">
        <f t="shared" si="17"/>
        <v>343231.43000000005</v>
      </c>
      <c r="AU81" s="50">
        <f t="shared" si="11"/>
        <v>-117304.02999999997</v>
      </c>
      <c r="AV81" s="51">
        <f>'[1]08-09 for 10-11 Asmt'!AT81</f>
        <v>460535.46</v>
      </c>
      <c r="AW81" s="48">
        <f t="shared" si="12"/>
        <v>696107.97</v>
      </c>
      <c r="AX81" s="50">
        <f t="shared" si="13"/>
        <v>58988.709999999963</v>
      </c>
      <c r="AY81" s="51">
        <f>'[1]10-11 for 12-13 Asmt'!AW81</f>
        <v>637119.26</v>
      </c>
      <c r="AZ81" s="54" t="s">
        <v>408</v>
      </c>
      <c r="BA81" s="54" t="s">
        <v>409</v>
      </c>
      <c r="BB81" s="57"/>
      <c r="BC81" s="56"/>
      <c r="BD81" s="57"/>
      <c r="BE81" s="57">
        <f t="shared" si="10"/>
        <v>0</v>
      </c>
      <c r="BF81" s="57">
        <v>67455.835331199705</v>
      </c>
      <c r="BG81" s="57">
        <v>70341</v>
      </c>
      <c r="BH81" s="57">
        <v>80799.903487648931</v>
      </c>
      <c r="BI81" s="57">
        <v>67578</v>
      </c>
      <c r="BJ81" s="57">
        <v>58248</v>
      </c>
      <c r="BK81" s="57">
        <v>57327.896372134775</v>
      </c>
      <c r="BL81" s="56">
        <v>64056</v>
      </c>
      <c r="BM81" s="56">
        <v>60211</v>
      </c>
      <c r="BN81" s="56">
        <v>61292</v>
      </c>
      <c r="BO81" s="56">
        <v>61038</v>
      </c>
      <c r="BP81" s="56">
        <v>53439</v>
      </c>
      <c r="BQ81" s="56">
        <v>66917</v>
      </c>
      <c r="BR81" s="56">
        <v>52597.219602588943</v>
      </c>
      <c r="BS81" s="56">
        <v>56690.07810471495</v>
      </c>
      <c r="BT81" s="57"/>
      <c r="BU81" s="46" t="s">
        <v>138</v>
      </c>
    </row>
    <row r="82" spans="1:227" ht="22.5">
      <c r="A82" s="45" t="s">
        <v>410</v>
      </c>
      <c r="B82" s="46" t="s">
        <v>411</v>
      </c>
      <c r="C82" s="59">
        <f>6307.32+6000+7611.89+4500</f>
        <v>24419.21</v>
      </c>
      <c r="D82" s="59"/>
      <c r="E82" s="60">
        <v>110</v>
      </c>
      <c r="F82" s="60"/>
      <c r="G82" s="60"/>
      <c r="H82" s="60"/>
      <c r="I82" s="60">
        <v>41696.79</v>
      </c>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49">
        <f t="shared" si="14"/>
        <v>66226</v>
      </c>
      <c r="AJ82" s="50">
        <f t="shared" si="15"/>
        <v>1913.6699999999983</v>
      </c>
      <c r="AK82" s="51">
        <f>'[2]12-13 for 14-15 Asmt (updated)'!AI82</f>
        <v>64312.33</v>
      </c>
      <c r="AL82" s="48">
        <v>750</v>
      </c>
      <c r="AM82" s="48">
        <v>24419.21</v>
      </c>
      <c r="AN82" s="60" t="s">
        <v>91</v>
      </c>
      <c r="AO82" s="48"/>
      <c r="AP82" s="48"/>
      <c r="AQ82" s="48"/>
      <c r="AR82" s="52">
        <f t="shared" si="16"/>
        <v>0</v>
      </c>
      <c r="AS82" s="51" t="e">
        <f>'[1]08-09 for 10-11 Asmt'!AQ82</f>
        <v>#REF!</v>
      </c>
      <c r="AT82" s="51">
        <f t="shared" si="17"/>
        <v>25169.21</v>
      </c>
      <c r="AU82" s="50">
        <f t="shared" si="11"/>
        <v>-75105.440000000002</v>
      </c>
      <c r="AV82" s="51">
        <f>'[1]08-09 for 10-11 Asmt'!AT82</f>
        <v>100274.65</v>
      </c>
      <c r="AW82" s="48">
        <f t="shared" si="12"/>
        <v>41056.79</v>
      </c>
      <c r="AX82" s="50">
        <f t="shared" si="13"/>
        <v>-29284.909999999996</v>
      </c>
      <c r="AY82" s="51">
        <f>'[1]10-11 for 12-13 Asmt'!AW82</f>
        <v>70341.7</v>
      </c>
      <c r="AZ82" s="61"/>
      <c r="BA82" s="61" t="s">
        <v>412</v>
      </c>
      <c r="BB82" s="64"/>
      <c r="BC82" s="63"/>
      <c r="BD82" s="64"/>
      <c r="BE82" s="64">
        <v>2592</v>
      </c>
      <c r="BF82" s="64">
        <v>1992.0370000000007</v>
      </c>
      <c r="BG82" s="64">
        <v>1800</v>
      </c>
      <c r="BH82" s="64">
        <v>1250</v>
      </c>
      <c r="BI82" s="64">
        <v>1000</v>
      </c>
      <c r="BJ82" s="64">
        <v>750</v>
      </c>
      <c r="BK82" s="64">
        <v>500</v>
      </c>
      <c r="BL82" s="63">
        <v>500</v>
      </c>
      <c r="BM82" s="63">
        <v>500</v>
      </c>
      <c r="BN82" s="63">
        <v>500</v>
      </c>
      <c r="BO82" s="63">
        <v>1100</v>
      </c>
      <c r="BP82" s="63">
        <v>1086</v>
      </c>
      <c r="BQ82" s="63">
        <v>1068</v>
      </c>
      <c r="BR82" s="63">
        <v>2890.9403211554372</v>
      </c>
      <c r="BS82" s="63">
        <v>700</v>
      </c>
      <c r="BT82" s="64"/>
      <c r="BU82" s="65" t="s">
        <v>411</v>
      </c>
    </row>
    <row r="83" spans="1:227" s="58" customFormat="1">
      <c r="A83" s="45" t="s">
        <v>413</v>
      </c>
      <c r="B83" s="46" t="s">
        <v>166</v>
      </c>
      <c r="C83" s="47">
        <v>21600</v>
      </c>
      <c r="D83" s="47"/>
      <c r="E83" s="48">
        <v>16180</v>
      </c>
      <c r="F83" s="48"/>
      <c r="G83" s="48"/>
      <c r="H83" s="48"/>
      <c r="I83" s="48">
        <v>44246.07</v>
      </c>
      <c r="J83" s="48"/>
      <c r="K83" s="48">
        <v>217</v>
      </c>
      <c r="L83" s="48"/>
      <c r="M83" s="48"/>
      <c r="N83" s="48"/>
      <c r="O83" s="48"/>
      <c r="P83" s="48">
        <v>7.15</v>
      </c>
      <c r="Q83" s="48"/>
      <c r="R83" s="48"/>
      <c r="S83" s="48"/>
      <c r="T83" s="48"/>
      <c r="U83" s="48">
        <v>285</v>
      </c>
      <c r="V83" s="48"/>
      <c r="W83" s="48"/>
      <c r="X83" s="48"/>
      <c r="Y83" s="48"/>
      <c r="Z83" s="48"/>
      <c r="AA83" s="48"/>
      <c r="AB83" s="48">
        <v>100.54</v>
      </c>
      <c r="AC83" s="48"/>
      <c r="AD83" s="48"/>
      <c r="AE83" s="48"/>
      <c r="AF83" s="48"/>
      <c r="AG83" s="48"/>
      <c r="AH83" s="48"/>
      <c r="AI83" s="49">
        <f t="shared" si="14"/>
        <v>82635.759999999995</v>
      </c>
      <c r="AJ83" s="50">
        <f t="shared" si="15"/>
        <v>-16209.530000000013</v>
      </c>
      <c r="AK83" s="51">
        <f>'[2]12-13 for 14-15 Asmt (updated)'!AI83</f>
        <v>98845.290000000008</v>
      </c>
      <c r="AL83" s="48"/>
      <c r="AM83" s="48">
        <f>217+21600+285</f>
        <v>22102</v>
      </c>
      <c r="AN83" s="48" t="s">
        <v>294</v>
      </c>
      <c r="AO83" s="48"/>
      <c r="AP83" s="48"/>
      <c r="AQ83" s="48"/>
      <c r="AR83" s="52">
        <f t="shared" si="16"/>
        <v>0</v>
      </c>
      <c r="AS83" s="51" t="e">
        <f>'[1]08-09 for 10-11 Asmt'!AQ83</f>
        <v>#REF!</v>
      </c>
      <c r="AT83" s="51">
        <f t="shared" si="17"/>
        <v>22102</v>
      </c>
      <c r="AU83" s="50">
        <f t="shared" si="11"/>
        <v>-867.79999999999927</v>
      </c>
      <c r="AV83" s="51">
        <f>'[1]08-09 for 10-11 Asmt'!AT83</f>
        <v>22969.8</v>
      </c>
      <c r="AW83" s="48">
        <f t="shared" si="12"/>
        <v>60533.759999999995</v>
      </c>
      <c r="AX83" s="50">
        <f t="shared" si="13"/>
        <v>-4308.830000000009</v>
      </c>
      <c r="AY83" s="51">
        <f>'[1]10-11 for 12-13 Asmt'!AW83</f>
        <v>64842.590000000004</v>
      </c>
      <c r="AZ83" s="48" t="s">
        <v>414</v>
      </c>
      <c r="BA83" s="54" t="s">
        <v>415</v>
      </c>
      <c r="BB83" s="57"/>
      <c r="BC83" s="56"/>
      <c r="BD83" s="57"/>
      <c r="BE83" s="57">
        <v>6860</v>
      </c>
      <c r="BF83" s="57">
        <v>3250</v>
      </c>
      <c r="BG83" s="57">
        <v>2500</v>
      </c>
      <c r="BH83" s="57">
        <v>2500</v>
      </c>
      <c r="BI83" s="57">
        <v>2000</v>
      </c>
      <c r="BJ83" s="57">
        <v>1750</v>
      </c>
      <c r="BK83" s="57">
        <v>2000</v>
      </c>
      <c r="BL83" s="56">
        <v>1000</v>
      </c>
      <c r="BM83" s="56">
        <v>1000</v>
      </c>
      <c r="BN83" s="56">
        <v>0</v>
      </c>
      <c r="BO83" s="56">
        <v>10496</v>
      </c>
      <c r="BP83" s="56">
        <v>8440</v>
      </c>
      <c r="BQ83" s="56">
        <v>8054</v>
      </c>
      <c r="BR83" s="56">
        <v>6676.8141120411783</v>
      </c>
      <c r="BS83" s="56">
        <v>0</v>
      </c>
      <c r="BT83" s="57"/>
      <c r="BU83" s="46" t="s">
        <v>166</v>
      </c>
    </row>
    <row r="84" spans="1:227">
      <c r="A84" s="45" t="s">
        <v>416</v>
      </c>
      <c r="B84" s="46" t="s">
        <v>197</v>
      </c>
      <c r="C84" s="59"/>
      <c r="D84" s="59"/>
      <c r="E84" s="60">
        <f>2500+1421.05</f>
        <v>3921.05</v>
      </c>
      <c r="F84" s="60"/>
      <c r="G84" s="60"/>
      <c r="H84" s="60"/>
      <c r="I84" s="60">
        <v>1617679.39</v>
      </c>
      <c r="J84" s="60"/>
      <c r="K84" s="60"/>
      <c r="L84" s="60"/>
      <c r="M84" s="60"/>
      <c r="N84" s="60"/>
      <c r="O84" s="60"/>
      <c r="P84" s="60">
        <v>7674.51</v>
      </c>
      <c r="Q84" s="60"/>
      <c r="R84" s="60"/>
      <c r="S84" s="60"/>
      <c r="T84" s="60"/>
      <c r="U84" s="60"/>
      <c r="V84" s="60">
        <v>3600</v>
      </c>
      <c r="W84" s="60">
        <v>4240</v>
      </c>
      <c r="X84" s="60"/>
      <c r="Y84" s="60"/>
      <c r="Z84" s="60"/>
      <c r="AA84" s="60"/>
      <c r="AB84" s="60"/>
      <c r="AC84" s="60"/>
      <c r="AD84" s="60">
        <v>3525</v>
      </c>
      <c r="AE84" s="60"/>
      <c r="AF84" s="60"/>
      <c r="AG84" s="60"/>
      <c r="AH84" s="60"/>
      <c r="AI84" s="49">
        <f t="shared" si="14"/>
        <v>1640639.95</v>
      </c>
      <c r="AJ84" s="50">
        <f t="shared" si="15"/>
        <v>110902.89999999991</v>
      </c>
      <c r="AK84" s="51">
        <f>'[2]12-13 for 14-15 Asmt (updated)'!AI84</f>
        <v>1529737.05</v>
      </c>
      <c r="AL84" s="48">
        <f>38052.77</f>
        <v>38052.769999999997</v>
      </c>
      <c r="AM84" s="48">
        <v>3600</v>
      </c>
      <c r="AN84" s="60" t="s">
        <v>417</v>
      </c>
      <c r="AO84" s="48"/>
      <c r="AP84" s="48"/>
      <c r="AQ84" s="48">
        <v>453665.06</v>
      </c>
      <c r="AR84" s="52">
        <f t="shared" si="16"/>
        <v>0.27651713588956556</v>
      </c>
      <c r="AS84" s="51">
        <f>'[1]08-09 for 10-11 Asmt'!AQ84</f>
        <v>626985</v>
      </c>
      <c r="AT84" s="51">
        <f t="shared" si="17"/>
        <v>495317.83</v>
      </c>
      <c r="AU84" s="50">
        <f t="shared" si="11"/>
        <v>-208023.36999999994</v>
      </c>
      <c r="AV84" s="51">
        <f>'[1]08-09 for 10-11 Asmt'!AT84</f>
        <v>703341.2</v>
      </c>
      <c r="AW84" s="48">
        <f t="shared" si="12"/>
        <v>1145322.1199999999</v>
      </c>
      <c r="AX84" s="50">
        <f t="shared" si="13"/>
        <v>291734.11999999988</v>
      </c>
      <c r="AY84" s="51">
        <f>'[1]10-11 for 12-13 Asmt'!AW84</f>
        <v>853588</v>
      </c>
      <c r="AZ84" s="61"/>
      <c r="BA84" s="60" t="s">
        <v>418</v>
      </c>
      <c r="BB84" s="64"/>
      <c r="BC84" s="63"/>
      <c r="BD84" s="64"/>
      <c r="BE84" s="64">
        <f>SUM(BC84:BD84)</f>
        <v>0</v>
      </c>
      <c r="BF84" s="64">
        <v>148550.42848765777</v>
      </c>
      <c r="BG84" s="64">
        <v>132040</v>
      </c>
      <c r="BH84" s="64">
        <v>128350.2694891244</v>
      </c>
      <c r="BI84" s="64">
        <v>108169</v>
      </c>
      <c r="BJ84" s="64">
        <v>104386</v>
      </c>
      <c r="BK84" s="64">
        <v>88836.671327577424</v>
      </c>
      <c r="BL84" s="63">
        <v>78831</v>
      </c>
      <c r="BM84" s="63">
        <v>78584</v>
      </c>
      <c r="BN84" s="63">
        <v>62598</v>
      </c>
      <c r="BO84" s="63">
        <v>61735</v>
      </c>
      <c r="BP84" s="63">
        <v>55649</v>
      </c>
      <c r="BQ84" s="63">
        <v>61236</v>
      </c>
      <c r="BR84" s="63">
        <v>37239.030666996485</v>
      </c>
      <c r="BS84" s="63">
        <v>40618.938993964024</v>
      </c>
      <c r="BT84" s="64"/>
      <c r="BU84" s="65" t="s">
        <v>419</v>
      </c>
    </row>
    <row r="85" spans="1:227" s="58" customFormat="1" ht="22.5">
      <c r="A85" s="45" t="s">
        <v>420</v>
      </c>
      <c r="B85" s="46" t="s">
        <v>421</v>
      </c>
      <c r="C85" s="47"/>
      <c r="D85" s="47"/>
      <c r="E85" s="48">
        <v>14370</v>
      </c>
      <c r="F85" s="48"/>
      <c r="G85" s="48"/>
      <c r="H85" s="48"/>
      <c r="I85" s="48">
        <v>483651.95</v>
      </c>
      <c r="J85" s="48"/>
      <c r="K85" s="48"/>
      <c r="L85" s="48"/>
      <c r="M85" s="48"/>
      <c r="N85" s="48"/>
      <c r="O85" s="48"/>
      <c r="P85" s="48"/>
      <c r="Q85" s="48"/>
      <c r="R85" s="48"/>
      <c r="S85" s="48">
        <v>3185</v>
      </c>
      <c r="T85" s="48"/>
      <c r="U85" s="48"/>
      <c r="V85" s="48">
        <v>350</v>
      </c>
      <c r="W85" s="48"/>
      <c r="X85" s="48"/>
      <c r="Y85" s="48"/>
      <c r="Z85" s="48"/>
      <c r="AA85" s="48"/>
      <c r="AB85" s="48"/>
      <c r="AC85" s="48"/>
      <c r="AD85" s="48">
        <v>4430</v>
      </c>
      <c r="AE85" s="48"/>
      <c r="AF85" s="48"/>
      <c r="AG85" s="48"/>
      <c r="AH85" s="48"/>
      <c r="AI85" s="49">
        <f t="shared" si="14"/>
        <v>505986.95</v>
      </c>
      <c r="AJ85" s="50">
        <f t="shared" si="15"/>
        <v>57516.110000000044</v>
      </c>
      <c r="AK85" s="51">
        <f>'[2]12-13 for 14-15 Asmt (updated)'!AI85</f>
        <v>448470.83999999997</v>
      </c>
      <c r="AL85" s="48">
        <v>38176.04</v>
      </c>
      <c r="AM85" s="48"/>
      <c r="AN85" s="48"/>
      <c r="AO85" s="48"/>
      <c r="AP85" s="48"/>
      <c r="AQ85" s="48">
        <v>182204</v>
      </c>
      <c r="AR85" s="52">
        <f t="shared" si="16"/>
        <v>0.36009624358889097</v>
      </c>
      <c r="AS85" s="51">
        <f>'[1]08-09 for 10-11 Asmt'!AQ85</f>
        <v>161832.5</v>
      </c>
      <c r="AT85" s="51">
        <f t="shared" si="17"/>
        <v>220380.04</v>
      </c>
      <c r="AU85" s="50">
        <f t="shared" si="11"/>
        <v>17745.170000000013</v>
      </c>
      <c r="AV85" s="51">
        <f>'[1]08-09 for 10-11 Asmt'!AT85</f>
        <v>202634.87</v>
      </c>
      <c r="AW85" s="48">
        <f t="shared" si="12"/>
        <v>285606.91000000003</v>
      </c>
      <c r="AX85" s="50">
        <f t="shared" si="13"/>
        <v>20083.72000000003</v>
      </c>
      <c r="AY85" s="51">
        <f>'[1]10-11 for 12-13 Asmt'!AW85</f>
        <v>265523.19</v>
      </c>
      <c r="AZ85" s="54" t="s">
        <v>422</v>
      </c>
      <c r="BA85" s="48"/>
      <c r="BB85" s="57"/>
      <c r="BC85" s="56"/>
      <c r="BD85" s="57"/>
      <c r="BE85" s="57">
        <f>SUM(BC85:BD85)</f>
        <v>0</v>
      </c>
      <c r="BF85" s="57">
        <v>36391.755862504535</v>
      </c>
      <c r="BG85" s="57">
        <v>29153</v>
      </c>
      <c r="BH85" s="57">
        <v>17264.115460451474</v>
      </c>
      <c r="BI85" s="57">
        <v>27710</v>
      </c>
      <c r="BJ85" s="57">
        <v>14280</v>
      </c>
      <c r="BK85" s="57">
        <v>7140</v>
      </c>
      <c r="BL85" s="56">
        <v>3570</v>
      </c>
      <c r="BM85" s="56">
        <v>500</v>
      </c>
      <c r="BN85" s="56">
        <v>9870</v>
      </c>
      <c r="BO85" s="56">
        <v>8856</v>
      </c>
      <c r="BP85" s="56">
        <v>9433</v>
      </c>
      <c r="BQ85" s="56">
        <v>12924</v>
      </c>
      <c r="BR85" s="56">
        <v>7917.5948031457801</v>
      </c>
      <c r="BS85" s="56">
        <v>13028.888359381739</v>
      </c>
      <c r="BT85" s="57"/>
      <c r="BU85" s="46" t="s">
        <v>423</v>
      </c>
    </row>
    <row r="86" spans="1:227" s="58" customFormat="1" ht="12" thickBot="1">
      <c r="A86" s="76" t="s">
        <v>420</v>
      </c>
      <c r="B86" s="77" t="s">
        <v>424</v>
      </c>
      <c r="C86" s="47"/>
      <c r="D86" s="47"/>
      <c r="E86" s="48">
        <v>600</v>
      </c>
      <c r="F86" s="48"/>
      <c r="G86" s="48"/>
      <c r="H86" s="48"/>
      <c r="I86" s="48">
        <f>15161.97+68032.18</f>
        <v>83194.149999999994</v>
      </c>
      <c r="J86" s="48"/>
      <c r="K86" s="48">
        <v>3410.44</v>
      </c>
      <c r="L86" s="48"/>
      <c r="M86" s="48"/>
      <c r="N86" s="48"/>
      <c r="O86" s="48"/>
      <c r="P86" s="48"/>
      <c r="Q86" s="48">
        <f>56.58+231.32</f>
        <v>287.89999999999998</v>
      </c>
      <c r="R86" s="48"/>
      <c r="S86" s="48"/>
      <c r="T86" s="48">
        <v>450</v>
      </c>
      <c r="U86" s="48">
        <v>2777.26</v>
      </c>
      <c r="V86" s="48">
        <v>325</v>
      </c>
      <c r="W86" s="48">
        <v>593.54999999999995</v>
      </c>
      <c r="X86" s="48"/>
      <c r="Y86" s="48"/>
      <c r="Z86" s="48">
        <v>16408.509999999998</v>
      </c>
      <c r="AA86" s="48"/>
      <c r="AB86" s="48"/>
      <c r="AC86" s="48"/>
      <c r="AD86" s="48">
        <f>217.1+60+182+625</f>
        <v>1084.0999999999999</v>
      </c>
      <c r="AE86" s="48"/>
      <c r="AF86" s="48"/>
      <c r="AG86" s="48"/>
      <c r="AH86" s="48">
        <v>4205.67</v>
      </c>
      <c r="AI86" s="49">
        <f t="shared" si="14"/>
        <v>113336.57999999999</v>
      </c>
      <c r="AJ86" s="50">
        <f t="shared" si="15"/>
        <v>25889.270000000004</v>
      </c>
      <c r="AK86" s="51">
        <f>'[2]12-13 for 14-15 Asmt (updated)'!AI86</f>
        <v>87447.309999999983</v>
      </c>
      <c r="AL86" s="48">
        <f>269.93+250-20.71</f>
        <v>499.22000000000008</v>
      </c>
      <c r="AM86" s="48">
        <f>1352.12+3410.44+2777.26+231.32+450</f>
        <v>8221.14</v>
      </c>
      <c r="AN86" s="48" t="s">
        <v>425</v>
      </c>
      <c r="AO86" s="48"/>
      <c r="AP86" s="48"/>
      <c r="AQ86" s="48"/>
      <c r="AR86" s="52">
        <f t="shared" si="16"/>
        <v>0</v>
      </c>
      <c r="AS86" s="51" t="e">
        <f>'[1]08-09 for 10-11 Asmt'!AQ86</f>
        <v>#REF!</v>
      </c>
      <c r="AT86" s="51">
        <f t="shared" si="17"/>
        <v>8720.3599999999988</v>
      </c>
      <c r="AU86" s="50">
        <f t="shared" si="11"/>
        <v>-23344.260000000002</v>
      </c>
      <c r="AV86" s="51">
        <f>'[1]08-09 for 10-11 Asmt'!AT86</f>
        <v>32064.620000000003</v>
      </c>
      <c r="AW86" s="48">
        <f t="shared" si="12"/>
        <v>104616.21999999999</v>
      </c>
      <c r="AX86" s="50">
        <f t="shared" si="13"/>
        <v>34413.479999999996</v>
      </c>
      <c r="AY86" s="51">
        <f>'[1]10-11 for 12-13 Asmt'!AW86</f>
        <v>70202.739999999991</v>
      </c>
      <c r="BA86" s="54" t="s">
        <v>426</v>
      </c>
      <c r="BB86" s="78"/>
      <c r="BC86" s="56"/>
      <c r="BD86" s="57"/>
      <c r="BE86" s="57">
        <f>SUM(BC86:BD86)</f>
        <v>0</v>
      </c>
      <c r="BF86" s="57">
        <v>11287.891076088283</v>
      </c>
      <c r="BG86" s="78">
        <v>12515</v>
      </c>
      <c r="BH86" s="57">
        <v>9750.2673569594426</v>
      </c>
      <c r="BI86" s="57">
        <v>11622</v>
      </c>
      <c r="BJ86" s="57">
        <v>10454</v>
      </c>
      <c r="BK86" s="57">
        <v>10295.320952275961</v>
      </c>
      <c r="BL86" s="56">
        <v>10877</v>
      </c>
      <c r="BM86" s="56">
        <v>7120</v>
      </c>
      <c r="BN86" s="56">
        <v>7710</v>
      </c>
      <c r="BO86" s="56">
        <v>7981</v>
      </c>
      <c r="BP86" s="56">
        <v>7297</v>
      </c>
      <c r="BQ86" s="56">
        <v>5513</v>
      </c>
      <c r="BR86" s="56">
        <v>5451.6605707295439</v>
      </c>
      <c r="BS86" s="56">
        <v>6410.1595638799517</v>
      </c>
      <c r="BT86" s="57"/>
      <c r="BU86" s="46" t="s">
        <v>427</v>
      </c>
    </row>
    <row r="87" spans="1:227" ht="12.75" thickTop="1" thickBot="1">
      <c r="B87" s="2" t="s">
        <v>428</v>
      </c>
      <c r="C87" s="79">
        <f t="shared" ref="C87:AM87" si="18">SUM(C6:C86)</f>
        <v>200394.86</v>
      </c>
      <c r="D87" s="79">
        <f t="shared" si="18"/>
        <v>72278.73</v>
      </c>
      <c r="E87" s="79">
        <f t="shared" si="18"/>
        <v>549474.51</v>
      </c>
      <c r="F87" s="79">
        <f t="shared" si="18"/>
        <v>250</v>
      </c>
      <c r="G87" s="79">
        <f t="shared" si="18"/>
        <v>0</v>
      </c>
      <c r="H87" s="80">
        <f t="shared" si="18"/>
        <v>0</v>
      </c>
      <c r="I87" s="79">
        <f t="shared" si="18"/>
        <v>23635456.909999996</v>
      </c>
      <c r="J87" s="79">
        <f t="shared" si="18"/>
        <v>3417.36</v>
      </c>
      <c r="K87" s="79">
        <f t="shared" si="18"/>
        <v>248644.1</v>
      </c>
      <c r="L87" s="79">
        <f t="shared" si="18"/>
        <v>36238.310000000005</v>
      </c>
      <c r="M87" s="79">
        <f t="shared" si="18"/>
        <v>753542.4</v>
      </c>
      <c r="N87" s="79">
        <f t="shared" si="18"/>
        <v>106940.84</v>
      </c>
      <c r="O87" s="79">
        <f t="shared" si="18"/>
        <v>0</v>
      </c>
      <c r="P87" s="79">
        <f t="shared" si="18"/>
        <v>60512.76</v>
      </c>
      <c r="Q87" s="79">
        <f t="shared" si="18"/>
        <v>111264.71</v>
      </c>
      <c r="R87" s="79">
        <f t="shared" si="18"/>
        <v>6110.79</v>
      </c>
      <c r="S87" s="79">
        <f t="shared" si="18"/>
        <v>72961.810000000012</v>
      </c>
      <c r="T87" s="79">
        <f t="shared" si="18"/>
        <v>116564.67</v>
      </c>
      <c r="U87" s="79">
        <f t="shared" si="18"/>
        <v>50527.420000000006</v>
      </c>
      <c r="V87" s="79">
        <f t="shared" si="18"/>
        <v>201880.69999999998</v>
      </c>
      <c r="W87" s="79">
        <f t="shared" si="18"/>
        <v>43852.800000000003</v>
      </c>
      <c r="X87" s="79">
        <f t="shared" si="18"/>
        <v>1932695.55</v>
      </c>
      <c r="Y87" s="79">
        <f t="shared" si="18"/>
        <v>96989.21</v>
      </c>
      <c r="Z87" s="79">
        <f t="shared" si="18"/>
        <v>211514.02</v>
      </c>
      <c r="AA87" s="79">
        <f t="shared" si="18"/>
        <v>0</v>
      </c>
      <c r="AB87" s="79">
        <f t="shared" si="18"/>
        <v>93922.48</v>
      </c>
      <c r="AC87" s="79">
        <f t="shared" si="18"/>
        <v>20958.909999999996</v>
      </c>
      <c r="AD87" s="79">
        <f t="shared" si="18"/>
        <v>254467.43999999997</v>
      </c>
      <c r="AE87" s="79">
        <f t="shared" si="18"/>
        <v>1065145.6800000002</v>
      </c>
      <c r="AF87" s="79">
        <f t="shared" si="18"/>
        <v>755984.46000000008</v>
      </c>
      <c r="AG87" s="79">
        <f t="shared" si="18"/>
        <v>176050.66000000003</v>
      </c>
      <c r="AH87" s="79">
        <f t="shared" si="18"/>
        <v>418538</v>
      </c>
      <c r="AI87" s="79">
        <f t="shared" si="18"/>
        <v>31296580.089999996</v>
      </c>
      <c r="AJ87" s="79">
        <f t="shared" si="18"/>
        <v>2160037.1399999997</v>
      </c>
      <c r="AK87" s="79">
        <f t="shared" si="18"/>
        <v>29136542.949999996</v>
      </c>
      <c r="AL87" s="79">
        <f t="shared" si="18"/>
        <v>1190861.19</v>
      </c>
      <c r="AM87" s="79">
        <f t="shared" si="18"/>
        <v>2912254.1199999996</v>
      </c>
      <c r="AN87" s="79"/>
      <c r="AO87" s="79">
        <f>SUM(AO6:AO86)</f>
        <v>2501145.0800000005</v>
      </c>
      <c r="AP87" s="79"/>
      <c r="AQ87" s="79">
        <f>SUM(AQ6:AQ86)</f>
        <v>6521502.4400000004</v>
      </c>
      <c r="AR87" s="81">
        <f>(AQ87/AI87)</f>
        <v>0.20837747834574985</v>
      </c>
      <c r="AS87" s="79" t="e">
        <f t="shared" ref="AS87:AY87" si="19">SUM(AS6:AS86)</f>
        <v>#REF!</v>
      </c>
      <c r="AT87" s="79">
        <f t="shared" si="19"/>
        <v>13125762.83</v>
      </c>
      <c r="AU87" s="79">
        <f t="shared" si="19"/>
        <v>-280643.09999999992</v>
      </c>
      <c r="AV87" s="79">
        <f t="shared" si="19"/>
        <v>13461909.060000001</v>
      </c>
      <c r="AW87" s="79">
        <f t="shared" si="19"/>
        <v>18170817.259999994</v>
      </c>
      <c r="AX87" s="79">
        <f t="shared" si="19"/>
        <v>2659540.1099999985</v>
      </c>
      <c r="AY87" s="79">
        <f t="shared" si="19"/>
        <v>15376424.030000001</v>
      </c>
      <c r="AZ87" s="79"/>
      <c r="BA87" s="79"/>
      <c r="BB87" s="82">
        <f>SUM(BB6:BB86)</f>
        <v>0</v>
      </c>
      <c r="BC87" s="82">
        <f>SUM(BC6:BC86)</f>
        <v>0</v>
      </c>
      <c r="BD87" s="82">
        <f>SUM(BD6:BD86)</f>
        <v>0</v>
      </c>
      <c r="BE87" s="82"/>
      <c r="BF87" s="79">
        <f>SUM(BF6:BF86)</f>
        <v>2126974.5660705799</v>
      </c>
      <c r="BG87" s="82">
        <f>SUM(BG6:BG86)</f>
        <v>2126244</v>
      </c>
      <c r="BH87" s="82">
        <f>SUM(BH6:BH86)</f>
        <v>1997687.1160715716</v>
      </c>
      <c r="BI87" s="82">
        <f>SUM(BI6:BI86)</f>
        <v>1848254</v>
      </c>
      <c r="BJ87" s="82">
        <f>SUM(BJ6:BJ86)</f>
        <v>1670322</v>
      </c>
      <c r="BK87" s="82">
        <v>1630673.2811975535</v>
      </c>
      <c r="BL87" s="82">
        <v>1567939</v>
      </c>
      <c r="BM87" s="82">
        <v>1389633</v>
      </c>
      <c r="BN87" s="82">
        <v>1335921</v>
      </c>
      <c r="BO87" s="79">
        <v>1285998</v>
      </c>
      <c r="BP87" s="82">
        <v>1129715</v>
      </c>
      <c r="BQ87" s="82">
        <v>1110789</v>
      </c>
      <c r="BR87" s="82">
        <v>994416</v>
      </c>
      <c r="BS87" s="79">
        <v>936698.08088946331</v>
      </c>
      <c r="BU87" s="2" t="s">
        <v>428</v>
      </c>
    </row>
    <row r="88" spans="1:227" ht="12" thickTop="1">
      <c r="B88" s="83"/>
      <c r="AR88" s="84"/>
      <c r="BU88" s="83"/>
    </row>
    <row r="89" spans="1:227">
      <c r="A89" s="85"/>
      <c r="B89" s="85" t="s">
        <v>429</v>
      </c>
      <c r="C89" s="85">
        <f>(C87/$AI$87)</f>
        <v>6.4030913097763969E-3</v>
      </c>
      <c r="D89" s="85">
        <f>(D87/$AI$87)</f>
        <v>2.3094769394019117E-3</v>
      </c>
      <c r="E89" s="85">
        <f>(E87/$AI$87)</f>
        <v>1.7557014485923662E-2</v>
      </c>
      <c r="F89" s="85">
        <f>(F87/$AI$87)</f>
        <v>7.9880932447274322E-6</v>
      </c>
      <c r="G89" s="85">
        <f>(G87/$AI$87)</f>
        <v>0</v>
      </c>
      <c r="H89" s="85"/>
      <c r="I89" s="85">
        <f t="shared" ref="I89:AI89" si="20">(I87/$AI$87)</f>
        <v>0.75520893471526906</v>
      </c>
      <c r="J89" s="85">
        <f t="shared" si="20"/>
        <v>1.0919276132320694E-4</v>
      </c>
      <c r="K89" s="85">
        <f t="shared" si="20"/>
        <v>7.9447690222053287E-3</v>
      </c>
      <c r="L89" s="85">
        <f t="shared" si="20"/>
        <v>1.1578999972453542E-3</v>
      </c>
      <c r="M89" s="85">
        <f t="shared" si="20"/>
        <v>2.4077467820222784E-2</v>
      </c>
      <c r="N89" s="85">
        <f t="shared" si="20"/>
        <v>3.4170136063579083E-3</v>
      </c>
      <c r="O89" s="85">
        <f t="shared" si="20"/>
        <v>0</v>
      </c>
      <c r="P89" s="85">
        <f t="shared" si="20"/>
        <v>1.9335262775032494E-3</v>
      </c>
      <c r="Q89" s="85">
        <f t="shared" si="20"/>
        <v>3.555171513310227E-3</v>
      </c>
      <c r="R89" s="85">
        <f t="shared" si="20"/>
        <v>1.9525424127579176E-4</v>
      </c>
      <c r="S89" s="85">
        <f t="shared" si="20"/>
        <v>2.331302966336346E-3</v>
      </c>
      <c r="T89" s="85">
        <f t="shared" si="20"/>
        <v>3.7245178120035292E-3</v>
      </c>
      <c r="U89" s="85">
        <f t="shared" si="20"/>
        <v>1.6144709695020229E-3</v>
      </c>
      <c r="V89" s="85">
        <f t="shared" si="20"/>
        <v>6.4505674236433799E-3</v>
      </c>
      <c r="W89" s="85">
        <f t="shared" si="20"/>
        <v>1.4012010217695325E-3</v>
      </c>
      <c r="X89" s="85">
        <f t="shared" si="20"/>
        <v>6.1754209068279074E-2</v>
      </c>
      <c r="Y89" s="85">
        <f t="shared" si="20"/>
        <v>3.0990354128498012E-3</v>
      </c>
      <c r="Z89" s="85">
        <f t="shared" si="20"/>
        <v>6.7583748573085706E-3</v>
      </c>
      <c r="AA89" s="85">
        <f t="shared" si="20"/>
        <v>0</v>
      </c>
      <c r="AB89" s="85">
        <f t="shared" si="20"/>
        <v>3.0010461120641889E-3</v>
      </c>
      <c r="AC89" s="85">
        <f t="shared" si="20"/>
        <v>6.6968690955140073E-4</v>
      </c>
      <c r="AD89" s="85">
        <f t="shared" si="20"/>
        <v>8.130838553868331E-3</v>
      </c>
      <c r="AE89" s="85">
        <f t="shared" si="20"/>
        <v>3.4033932044234431E-2</v>
      </c>
      <c r="AF89" s="85">
        <f t="shared" si="20"/>
        <v>2.4155497432179662E-2</v>
      </c>
      <c r="AG89" s="85">
        <f t="shared" si="20"/>
        <v>5.6252363515032246E-3</v>
      </c>
      <c r="AH89" s="85">
        <f t="shared" si="20"/>
        <v>1.3373282281846919E-2</v>
      </c>
      <c r="AI89" s="85">
        <f t="shared" si="20"/>
        <v>1</v>
      </c>
      <c r="AJ89" s="6">
        <f>(AJ87/AK87)</f>
        <v>7.4134983814200237E-2</v>
      </c>
      <c r="AL89" s="85">
        <f>(AL87/$AI$87)</f>
        <v>3.8050840908988283E-2</v>
      </c>
      <c r="AM89" s="85">
        <f>(AM87/$AI$87)</f>
        <v>9.3053429851606514E-2</v>
      </c>
      <c r="AO89" s="85">
        <f>(AO87/$AI$87)</f>
        <v>7.9917520470525027E-2</v>
      </c>
      <c r="AQ89" s="85">
        <f>(AQ87/$AI$87)</f>
        <v>0.20837747834574985</v>
      </c>
      <c r="AR89" s="2"/>
      <c r="AS89" s="86"/>
      <c r="AT89" s="85">
        <f>(AT87/$AI$87)</f>
        <v>0.41939926957686968</v>
      </c>
      <c r="AU89" s="85"/>
      <c r="AV89" s="86"/>
      <c r="AW89" s="85">
        <f>(AW87/AI87)</f>
        <v>0.58060073042313032</v>
      </c>
      <c r="AX89" s="85"/>
      <c r="AY89" s="85"/>
      <c r="AZ89" s="85"/>
      <c r="BA89" s="85"/>
      <c r="BB89" s="85"/>
      <c r="BC89" s="85"/>
      <c r="BD89" s="85"/>
      <c r="BE89" s="85"/>
      <c r="BF89" s="85"/>
      <c r="BG89" s="85">
        <v>0.16389999999999999</v>
      </c>
      <c r="BH89" s="85">
        <v>0.16389999999999999</v>
      </c>
      <c r="BI89" s="85">
        <v>0.15659999999999999</v>
      </c>
      <c r="BJ89" s="85" t="s">
        <v>430</v>
      </c>
      <c r="BK89" s="85" t="s">
        <v>431</v>
      </c>
      <c r="BL89" s="85">
        <v>0.15229999999999999</v>
      </c>
      <c r="BM89" s="85">
        <v>0.14230000000000001</v>
      </c>
      <c r="BN89" s="85">
        <v>0.14380000000000001</v>
      </c>
      <c r="BO89" s="85">
        <v>0.1434</v>
      </c>
      <c r="BP89" s="85">
        <v>0.13239999999999999</v>
      </c>
      <c r="BQ89" s="85">
        <v>0.1318</v>
      </c>
      <c r="BR89" s="85">
        <v>0.1298</v>
      </c>
      <c r="BS89" s="85">
        <v>0.1268</v>
      </c>
      <c r="BT89" s="85"/>
      <c r="BU89" s="85"/>
      <c r="BV89" s="85"/>
      <c r="BW89" s="85"/>
      <c r="BX89" s="85"/>
      <c r="BY89" s="85"/>
      <c r="BZ89" s="85"/>
      <c r="CA89" s="85"/>
      <c r="CB89" s="85"/>
      <c r="CC89" s="85"/>
      <c r="CD89" s="85"/>
      <c r="CE89" s="85"/>
      <c r="CF89" s="85"/>
      <c r="CG89" s="85"/>
      <c r="CH89" s="85"/>
      <c r="CI89" s="85"/>
      <c r="CJ89" s="85"/>
      <c r="CK89" s="85"/>
      <c r="CL89" s="85"/>
      <c r="CM89" s="85"/>
      <c r="CN89" s="85"/>
      <c r="CO89" s="85"/>
      <c r="CP89" s="85"/>
      <c r="CQ89" s="85"/>
      <c r="CR89" s="85"/>
      <c r="CS89" s="85"/>
      <c r="CT89" s="85"/>
      <c r="CU89" s="85"/>
      <c r="CV89" s="85"/>
      <c r="CW89" s="85"/>
      <c r="CX89" s="85"/>
      <c r="CY89" s="85"/>
      <c r="CZ89" s="85"/>
      <c r="DA89" s="85"/>
      <c r="DB89" s="85"/>
      <c r="DC89" s="85"/>
      <c r="DD89" s="85"/>
      <c r="DE89" s="85"/>
      <c r="DF89" s="85"/>
      <c r="DG89" s="85"/>
      <c r="DH89" s="85"/>
      <c r="DI89" s="85"/>
      <c r="DJ89" s="85"/>
      <c r="DK89" s="85"/>
      <c r="DL89" s="85"/>
      <c r="DM89" s="85"/>
      <c r="DN89" s="85"/>
      <c r="DO89" s="85"/>
      <c r="DP89" s="85"/>
      <c r="DQ89" s="85"/>
      <c r="DR89" s="85"/>
      <c r="DS89" s="85"/>
      <c r="DT89" s="85"/>
      <c r="DU89" s="85"/>
      <c r="DV89" s="85"/>
      <c r="DW89" s="85"/>
      <c r="DX89" s="85"/>
      <c r="DY89" s="85"/>
      <c r="DZ89" s="85"/>
      <c r="EA89" s="85"/>
      <c r="EB89" s="85"/>
      <c r="EC89" s="85"/>
      <c r="ED89" s="85"/>
      <c r="EE89" s="85"/>
      <c r="EF89" s="85"/>
      <c r="EG89" s="85"/>
      <c r="EH89" s="85"/>
      <c r="EI89" s="85"/>
      <c r="EJ89" s="85"/>
      <c r="EK89" s="85"/>
      <c r="EL89" s="85"/>
      <c r="EM89" s="85"/>
      <c r="EN89" s="85"/>
      <c r="EO89" s="85"/>
      <c r="EP89" s="85"/>
      <c r="EQ89" s="85"/>
      <c r="ER89" s="85"/>
      <c r="ES89" s="85"/>
      <c r="ET89" s="85"/>
      <c r="EU89" s="85"/>
      <c r="EV89" s="85"/>
      <c r="EW89" s="85"/>
      <c r="EX89" s="85"/>
      <c r="EY89" s="85"/>
      <c r="EZ89" s="85"/>
      <c r="FA89" s="85"/>
      <c r="FB89" s="85"/>
      <c r="FC89" s="85"/>
      <c r="FD89" s="85"/>
      <c r="FE89" s="85"/>
      <c r="FF89" s="85"/>
      <c r="FG89" s="85"/>
      <c r="FH89" s="85"/>
      <c r="FI89" s="85"/>
      <c r="FJ89" s="85"/>
      <c r="FK89" s="85"/>
      <c r="FL89" s="85"/>
      <c r="FM89" s="85"/>
      <c r="FN89" s="85"/>
      <c r="FO89" s="85"/>
      <c r="FP89" s="85"/>
      <c r="FQ89" s="85"/>
      <c r="FR89" s="85"/>
      <c r="FS89" s="85"/>
      <c r="FT89" s="85"/>
      <c r="FU89" s="85"/>
      <c r="FV89" s="85"/>
      <c r="FW89" s="85"/>
      <c r="FX89" s="85"/>
      <c r="FY89" s="85"/>
      <c r="FZ89" s="85"/>
      <c r="GA89" s="85"/>
      <c r="GB89" s="85"/>
      <c r="GC89" s="85"/>
      <c r="GD89" s="85"/>
      <c r="GE89" s="85"/>
      <c r="GF89" s="85"/>
      <c r="GG89" s="85"/>
      <c r="GH89" s="85"/>
      <c r="GI89" s="85"/>
      <c r="GJ89" s="85"/>
      <c r="GK89" s="85"/>
      <c r="GL89" s="85"/>
      <c r="GM89" s="85"/>
      <c r="GN89" s="85"/>
      <c r="GO89" s="85"/>
      <c r="GP89" s="85"/>
      <c r="GQ89" s="85"/>
      <c r="GR89" s="85"/>
      <c r="GS89" s="85"/>
      <c r="GT89" s="85"/>
      <c r="GU89" s="85"/>
      <c r="GV89" s="85"/>
      <c r="GW89" s="85"/>
      <c r="GX89" s="85"/>
      <c r="GY89" s="85"/>
      <c r="GZ89" s="85"/>
      <c r="HA89" s="85"/>
      <c r="HB89" s="85"/>
      <c r="HC89" s="85"/>
      <c r="HD89" s="85"/>
      <c r="HE89" s="85"/>
      <c r="HF89" s="85"/>
      <c r="HG89" s="85"/>
      <c r="HH89" s="85"/>
      <c r="HI89" s="85"/>
      <c r="HJ89" s="85"/>
      <c r="HK89" s="85"/>
      <c r="HL89" s="85"/>
      <c r="HM89" s="85"/>
      <c r="HN89" s="85"/>
      <c r="HO89" s="85"/>
      <c r="HP89" s="85"/>
      <c r="HQ89" s="85"/>
      <c r="HR89" s="85"/>
      <c r="HS89" s="85"/>
    </row>
    <row r="90" spans="1:227" ht="12" thickBot="1">
      <c r="AG90" s="4"/>
      <c r="AH90" s="5"/>
      <c r="AI90" s="2"/>
      <c r="AJ90" s="2"/>
      <c r="AR90" s="2"/>
      <c r="AS90" s="7"/>
      <c r="AU90" s="2"/>
      <c r="AV90" s="7"/>
      <c r="AX90" s="2"/>
    </row>
    <row r="91" spans="1:227" ht="12.75" thickTop="1" thickBot="1">
      <c r="A91" s="3"/>
      <c r="B91" s="87" t="s">
        <v>432</v>
      </c>
      <c r="C91" s="79">
        <f>+'[2]13-14 for 15-16 Asmt'!C87</f>
        <v>106391.76</v>
      </c>
      <c r="D91" s="79">
        <f>+'[2]13-14 for 15-16 Asmt'!D87</f>
        <v>65416.62</v>
      </c>
      <c r="E91" s="79">
        <f>+'[2]13-14 for 15-16 Asmt'!E87</f>
        <v>290633.19</v>
      </c>
      <c r="F91" s="79">
        <f>+'[2]13-14 for 15-16 Asmt'!F87</f>
        <v>235.78</v>
      </c>
      <c r="G91" s="79">
        <f>+'[2]13-14 for 15-16 Asmt'!G87</f>
        <v>615.47</v>
      </c>
      <c r="H91" s="79">
        <f>+'[2]13-14 for 15-16 Asmt'!H87</f>
        <v>0</v>
      </c>
      <c r="I91" s="79">
        <f>+'[2]13-14 for 15-16 Asmt'!I87</f>
        <v>22899729.369999997</v>
      </c>
      <c r="J91" s="79">
        <f>+'[2]13-14 for 15-16 Asmt'!J87</f>
        <v>8078.27</v>
      </c>
      <c r="K91" s="79">
        <f>+'[2]13-14 for 15-16 Asmt'!K87</f>
        <v>164690.42000000001</v>
      </c>
      <c r="L91" s="79">
        <f>+'[2]13-14 for 15-16 Asmt'!L87</f>
        <v>57933.57</v>
      </c>
      <c r="M91" s="79">
        <f>+'[2]13-14 for 15-16 Asmt'!M87</f>
        <v>1035434.29</v>
      </c>
      <c r="N91" s="79">
        <f>+'[2]13-14 for 15-16 Asmt'!N87</f>
        <v>721689.05</v>
      </c>
      <c r="O91" s="79">
        <f>+'[2]13-14 for 15-16 Asmt'!O87</f>
        <v>0</v>
      </c>
      <c r="P91" s="79">
        <f>+'[2]13-14 for 15-16 Asmt'!P87</f>
        <v>46097.89</v>
      </c>
      <c r="Q91" s="79">
        <f>+'[2]13-14 for 15-16 Asmt'!Q87</f>
        <v>123927.81000000004</v>
      </c>
      <c r="R91" s="79">
        <f>+'[2]13-14 for 15-16 Asmt'!R87</f>
        <v>7468.2500000000009</v>
      </c>
      <c r="S91" s="79">
        <f>+'[2]13-14 for 15-16 Asmt'!S87</f>
        <v>50249.18</v>
      </c>
      <c r="T91" s="79">
        <f>+'[2]13-14 for 15-16 Asmt'!T87</f>
        <v>59433.760000000002</v>
      </c>
      <c r="U91" s="79">
        <f>+'[2]13-14 for 15-16 Asmt'!U87</f>
        <v>42988.770000000004</v>
      </c>
      <c r="V91" s="79">
        <f>+'[2]13-14 for 15-16 Asmt'!V87</f>
        <v>181090.84000000003</v>
      </c>
      <c r="W91" s="79">
        <f>+'[2]13-14 for 15-16 Asmt'!W87</f>
        <v>106198.72</v>
      </c>
      <c r="X91" s="79">
        <f>+'[2]13-14 for 15-16 Asmt'!X87</f>
        <v>1651744.84</v>
      </c>
      <c r="Y91" s="79">
        <f>+'[2]13-14 for 15-16 Asmt'!Y87</f>
        <v>24753.040000000001</v>
      </c>
      <c r="Z91" s="79">
        <f>+'[2]13-14 for 15-16 Asmt'!Z87</f>
        <v>122617.17</v>
      </c>
      <c r="AA91" s="79">
        <f>+'[2]13-14 for 15-16 Asmt'!AA87</f>
        <v>0</v>
      </c>
      <c r="AB91" s="79">
        <f>+'[2]13-14 for 15-16 Asmt'!AB87</f>
        <v>30639.39</v>
      </c>
      <c r="AC91" s="79">
        <f>+'[2]13-14 for 15-16 Asmt'!AC87</f>
        <v>24356.640000000003</v>
      </c>
      <c r="AD91" s="79">
        <f>+'[2]13-14 for 15-16 Asmt'!AD87</f>
        <v>195746.36</v>
      </c>
      <c r="AE91" s="79">
        <f>+'[2]13-14 for 15-16 Asmt'!AE87</f>
        <v>1032226.8</v>
      </c>
      <c r="AF91" s="79">
        <f>+'[2]13-14 for 15-16 Asmt'!AF87</f>
        <v>710277.4700000002</v>
      </c>
      <c r="AG91" s="79">
        <f>+'[2]13-14 for 15-16 Asmt'!AG87</f>
        <v>328195.24999999994</v>
      </c>
      <c r="AH91" s="79">
        <f>+'[2]13-14 for 15-16 Asmt'!AH87</f>
        <v>419442.97</v>
      </c>
      <c r="AI91" s="79">
        <f>+'[2]13-14 for 15-16 Asmt'!AI87</f>
        <v>30508302.940000013</v>
      </c>
      <c r="AJ91" s="79">
        <f>+'[2]13-14 for 15-16 Asmt'!AJ87</f>
        <v>1371759.9900000007</v>
      </c>
      <c r="AK91" s="79">
        <f>+'[2]13-14 for 15-16 Asmt'!AK87</f>
        <v>29136542.949999996</v>
      </c>
      <c r="AL91" s="79">
        <f>+'[2]13-14 for 15-16 Asmt'!AL87</f>
        <v>1212830.5899999996</v>
      </c>
      <c r="AM91" s="79">
        <f>+'[2]13-14 for 15-16 Asmt'!AM87</f>
        <v>2892463.6500000004</v>
      </c>
      <c r="AN91" s="79"/>
      <c r="AO91" s="79">
        <f>+'[2]13-14 for 15-16 Asmt'!AO87</f>
        <v>2730268.3700000006</v>
      </c>
      <c r="AP91" s="79">
        <f>+'[2]13-14 for 15-16 Asmt'!AP87</f>
        <v>0</v>
      </c>
      <c r="AQ91" s="79">
        <f>+'[2]13-14 for 15-16 Asmt'!AQ87</f>
        <v>6797430.4699999997</v>
      </c>
      <c r="AR91" s="79">
        <f>+'[2]13-14 for 15-16 Asmt'!AR87</f>
        <v>0.22280591887947199</v>
      </c>
      <c r="AS91" s="79">
        <f>+'[2]13-14 for 15-16 Asmt'!AS87</f>
        <v>7123671.9000000004</v>
      </c>
      <c r="AT91" s="79">
        <f>+'[2]13-14 for 15-16 Asmt'!AT87</f>
        <v>13632993.079999996</v>
      </c>
      <c r="AU91" s="79">
        <f>+'[2]13-14 for 15-16 Asmt'!AU87</f>
        <v>422614.15999999992</v>
      </c>
      <c r="AV91" s="79">
        <f>+'[2]13-14 for 15-16 Asmt'!AV87</f>
        <v>13461909.059999997</v>
      </c>
      <c r="AW91" s="79">
        <f>+'[2]13-14 for 15-16 Asmt'!AW87</f>
        <v>16875309.859999999</v>
      </c>
      <c r="AX91" s="79">
        <v>1077623.0099999998</v>
      </c>
      <c r="AY91" s="79">
        <v>15376424.030000001</v>
      </c>
      <c r="AZ91" s="79"/>
      <c r="BA91" s="7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row>
    <row r="92" spans="1:227" ht="34.5" thickTop="1">
      <c r="A92" s="3"/>
      <c r="B92" s="88" t="s">
        <v>433</v>
      </c>
      <c r="C92" s="3">
        <f>(C87-C91)</f>
        <v>94003.099999999991</v>
      </c>
      <c r="D92" s="3">
        <f>(D87-D91)</f>
        <v>6862.1099999999933</v>
      </c>
      <c r="E92" s="3">
        <f>(E87-E91)</f>
        <v>258841.32</v>
      </c>
      <c r="F92" s="3">
        <f>(F87-F91)</f>
        <v>14.219999999999999</v>
      </c>
      <c r="G92" s="3">
        <f>(G87-G91)</f>
        <v>-615.47</v>
      </c>
      <c r="H92" s="3"/>
      <c r="I92" s="3">
        <f>(I87-I91)</f>
        <v>735727.53999999911</v>
      </c>
      <c r="J92" s="3">
        <f>(J87-J91)</f>
        <v>-4660.91</v>
      </c>
      <c r="K92" s="3">
        <f>(K87-K91)</f>
        <v>83953.68</v>
      </c>
      <c r="L92" s="3"/>
      <c r="M92" s="3"/>
      <c r="N92" s="3">
        <f t="shared" ref="N92:X92" si="21">(N87-N91)</f>
        <v>-614748.21000000008</v>
      </c>
      <c r="O92" s="3">
        <f t="shared" si="21"/>
        <v>0</v>
      </c>
      <c r="P92" s="3">
        <f t="shared" si="21"/>
        <v>14414.870000000003</v>
      </c>
      <c r="Q92" s="3">
        <f t="shared" si="21"/>
        <v>-12663.100000000035</v>
      </c>
      <c r="R92" s="3">
        <f t="shared" si="21"/>
        <v>-1357.4600000000009</v>
      </c>
      <c r="S92" s="3">
        <f t="shared" si="21"/>
        <v>22712.630000000012</v>
      </c>
      <c r="T92" s="3">
        <f t="shared" si="21"/>
        <v>57130.909999999996</v>
      </c>
      <c r="U92" s="3">
        <f t="shared" si="21"/>
        <v>7538.6500000000015</v>
      </c>
      <c r="V92" s="3">
        <f t="shared" si="21"/>
        <v>20789.859999999957</v>
      </c>
      <c r="W92" s="3">
        <f t="shared" si="21"/>
        <v>-62345.919999999998</v>
      </c>
      <c r="X92" s="3">
        <f t="shared" si="21"/>
        <v>280950.70999999996</v>
      </c>
      <c r="Y92" s="3"/>
      <c r="Z92" s="3"/>
      <c r="AA92" s="3"/>
      <c r="AB92" s="3"/>
      <c r="AC92" s="3">
        <f t="shared" ref="AC92:AI92" si="22">(AC87-AC91)</f>
        <v>-3397.7300000000068</v>
      </c>
      <c r="AD92" s="3">
        <f t="shared" si="22"/>
        <v>58721.079999999987</v>
      </c>
      <c r="AE92" s="3">
        <f t="shared" si="22"/>
        <v>32918.880000000121</v>
      </c>
      <c r="AF92" s="3">
        <f t="shared" si="22"/>
        <v>45706.989999999874</v>
      </c>
      <c r="AG92" s="3">
        <f t="shared" si="22"/>
        <v>-152144.58999999991</v>
      </c>
      <c r="AH92" s="3">
        <f t="shared" si="22"/>
        <v>-904.96999999997206</v>
      </c>
      <c r="AI92" s="3">
        <f t="shared" si="22"/>
        <v>788277.14999998361</v>
      </c>
      <c r="AJ92" s="3"/>
      <c r="AK92" s="3"/>
      <c r="AL92" s="3">
        <f>(AL87-AL91)</f>
        <v>-21969.399999999674</v>
      </c>
      <c r="AM92" s="3">
        <f>(AM87-AM91)</f>
        <v>19790.469999999274</v>
      </c>
      <c r="AN92" s="3"/>
      <c r="AO92" s="3">
        <f>(AO87-AO91)</f>
        <v>-229123.29000000004</v>
      </c>
      <c r="AP92" s="3"/>
      <c r="AQ92" s="3">
        <f>(AQ87-AQ91)</f>
        <v>-275928.02999999933</v>
      </c>
      <c r="AR92" s="3"/>
      <c r="AS92" s="3"/>
      <c r="AT92" s="3">
        <f t="shared" ref="AT92:AY92" si="23">(AT87-AT91)</f>
        <v>-507230.24999999627</v>
      </c>
      <c r="AU92" s="3">
        <f t="shared" si="23"/>
        <v>-703257.25999999978</v>
      </c>
      <c r="AV92" s="3">
        <f t="shared" si="23"/>
        <v>3.7252902984619141E-9</v>
      </c>
      <c r="AW92" s="3">
        <f t="shared" si="23"/>
        <v>1295507.3999999948</v>
      </c>
      <c r="AX92" s="3">
        <f t="shared" si="23"/>
        <v>1581917.0999999987</v>
      </c>
      <c r="AY92" s="3">
        <f t="shared" si="23"/>
        <v>0</v>
      </c>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row>
    <row r="93" spans="1:227">
      <c r="AR93" s="84"/>
    </row>
  </sheetData>
  <pageMargins left="0.7" right="0.7" top="0.75" bottom="0.75" header="0.3" footer="0.3"/>
  <pageSetup scale="85" fitToWidth="10" fitToHeight="1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16-17 for 18-19 Asmt (past3)</vt:lpstr>
      <vt:lpstr>15-16 for 17-18 Asmt (past3yrs)</vt:lpstr>
      <vt:lpstr>14-15 for 16-17 Asmt (past3yrs)</vt:lpstr>
      <vt:lpstr>14-15 for 16-17 Asmt (detail)</vt:lpstr>
      <vt:lpstr>'14-15 for 16-17 Asmt (detail)'!Print_Area</vt:lpstr>
      <vt:lpstr>'14-15 for 16-17 Asmt (past3yrs)'!Print_Area</vt:lpstr>
      <vt:lpstr>'15-16 for 17-18 Asmt (past3yrs)'!Print_Area</vt:lpstr>
      <vt:lpstr>'16-17 for 18-19 Asmt (past3)'!Print_Area</vt:lpstr>
      <vt:lpstr>'14-15 for 16-17 Asmt (detail)'!Print_Titles</vt:lpstr>
      <vt:lpstr>'14-15 for 16-17 Asmt (past3yrs)'!Print_Titles</vt:lpstr>
      <vt:lpstr>'15-16 for 17-18 Asmt (past3yrs)'!Print_Titles</vt:lpstr>
      <vt:lpstr>'16-17 for 18-19 Asmt (past3)'!Print_Titles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Haire</dc:creator>
  <cp:lastModifiedBy>Kasey, Tina</cp:lastModifiedBy>
  <cp:lastPrinted>2018-03-01T16:20:18Z</cp:lastPrinted>
  <dcterms:created xsi:type="dcterms:W3CDTF">2016-02-26T22:25:06Z</dcterms:created>
  <dcterms:modified xsi:type="dcterms:W3CDTF">2018-08-02T17:58:16Z</dcterms:modified>
</cp:coreProperties>
</file>